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mc:AlternateContent xmlns:mc="http://schemas.openxmlformats.org/markup-compatibility/2006">
    <mc:Choice Requires="x15">
      <x15ac:absPath xmlns:x15ac="http://schemas.microsoft.com/office/spreadsheetml/2010/11/ac" url="C:\Users\givens\Documents\GitHub\WQIP-Annual-Report-2020-21\A.2 Outfall Assessments\DryWeatherLoadingCalcs\Input\WQ\"/>
    </mc:Choice>
  </mc:AlternateContent>
  <xr:revisionPtr revIDLastSave="0" documentId="13_ncr:1_{D8E75245-5616-4C8D-998B-2887929AFA5F}" xr6:coauthVersionLast="45" xr6:coauthVersionMax="45" xr10:uidLastSave="{00000000-0000-0000-0000-000000000000}"/>
  <bookViews>
    <workbookView xWindow="-120" yWindow="-120" windowWidth="29040" windowHeight="17640" firstSheet="4" activeTab="6" xr2:uid="{00000000-000D-0000-FFFF-FFFF00000000}"/>
  </bookViews>
  <sheets>
    <sheet name="R1_NALS overview" sheetId="1" r:id="rId1"/>
    <sheet name="R1_AllData" sheetId="3" r:id="rId2"/>
    <sheet name="R1_ NALS assessment" sheetId="2" r:id="rId3"/>
    <sheet name="R2_NALS overview" sheetId="16" r:id="rId4"/>
    <sheet name="R2_ NALS assessment" sheetId="15" r:id="rId5"/>
    <sheet name="R2_AllData" sheetId="14" r:id="rId6"/>
    <sheet name="Horizon Data units" sheetId="10" r:id="rId7"/>
    <sheet name="NotCollected" sheetId="13" state="hidden" r:id="rId8"/>
    <sheet name="juris" sheetId="7" r:id="rId9"/>
    <sheet name="Rec1_BU" sheetId="9" r:id="rId10"/>
    <sheet name="Parameters" sheetId="4" state="hidden" r:id="rId11"/>
    <sheet name="InspectSumm_Flow" sheetId="8" state="hidden" r:id="rId12"/>
  </sheets>
  <definedNames>
    <definedName name="_xlnm._FilterDatabase" localSheetId="11" hidden="1">InspectSumm_Flow!$A$1:$H$123</definedName>
    <definedName name="_xlnm._FilterDatabase" localSheetId="2" hidden="1">'R1_ NALS assessment'!$A$6:$A$7</definedName>
    <definedName name="_xlnm._FilterDatabase" localSheetId="1" hidden="1">'R1_AllData'!$B$4:$B$5</definedName>
    <definedName name="_xlnm._FilterDatabase" localSheetId="4" hidden="1">'R2_ NALS assessment'!$A$6:$A$7</definedName>
    <definedName name="_xlnm._FilterDatabase" localSheetId="5" hidden="1">'R2_AllData'!$B$4:$B$5</definedName>
    <definedName name="_R1ChemDiss2020">'Horizon Data units'!$B$56:$DL$90</definedName>
    <definedName name="BU">Rec1_BU!$G$1:$H$23</definedName>
    <definedName name="Flow_R1">InspectSumm_Flow!$A$2:$H$54</definedName>
    <definedName name="Flow_R2">InspectSumm_Flow!$A$70:$H$121</definedName>
    <definedName name="juris">juris!$A$1:$C$64</definedName>
    <definedName name="_xlnm.Print_Area" localSheetId="2">'R1_ NALS assessment'!$A$4:$AI$81</definedName>
    <definedName name="_xlnm.Print_Area" localSheetId="1">'R1_AllData'!$A$1:$BO$74</definedName>
    <definedName name="_xlnm.Print_Area" localSheetId="4">'R2_ NALS assessment'!$A$4:$AI$81</definedName>
    <definedName name="_xlnm.Print_Area" localSheetId="5">'R2_AllData'!$A$1:$BO$74</definedName>
    <definedName name="_xlnm.Print_Titles" localSheetId="2">'R1_ NALS assessment'!$3:$7</definedName>
    <definedName name="_xlnm.Print_Titles" localSheetId="1">'R1_AllData'!$A:$D,'R1_AllData'!$2:$5</definedName>
    <definedName name="_xlnm.Print_Titles" localSheetId="4">'R2_ NALS assessment'!$3:$7</definedName>
    <definedName name="_xlnm.Print_Titles" localSheetId="5">'R2_AllData'!$A:$D,'R2_AllData'!$2:$5</definedName>
    <definedName name="RW">Rec1_BU!$B$2:$D$66</definedName>
    <definedName name="StationName">juris!$G$3:$H$64</definedName>
    <definedName name="WaterQuality">'Horizon Data units'!$C$3:$DQ$179</definedName>
    <definedName name="Z_00D01216_4B44_433C_B036_BE1A6969F2B5_.wvu.FilterData" localSheetId="2" hidden="1">'R1_ NALS assessment'!$F$7:$F$60</definedName>
    <definedName name="Z_00D01216_4B44_433C_B036_BE1A6969F2B5_.wvu.FilterData" localSheetId="1" hidden="1">'R1_AllData'!$B$4:$B$58</definedName>
    <definedName name="Z_00D01216_4B44_433C_B036_BE1A6969F2B5_.wvu.FilterData" localSheetId="4" hidden="1">'R2_ NALS assessment'!$F$7:$F$60</definedName>
    <definedName name="Z_00D01216_4B44_433C_B036_BE1A6969F2B5_.wvu.FilterData" localSheetId="5" hidden="1">'R2_AllData'!$B$4:$B$58</definedName>
    <definedName name="Z_00D01216_4B44_433C_B036_BE1A6969F2B5_.wvu.PrintArea" localSheetId="2" hidden="1">'R1_ NALS assessment'!$A$3:$AI$96</definedName>
    <definedName name="Z_00D01216_4B44_433C_B036_BE1A6969F2B5_.wvu.PrintArea" localSheetId="4" hidden="1">'R2_ NALS assessment'!$A$3:$AI$97</definedName>
  </definedNames>
  <calcPr calcId="191028"/>
  <customWorkbookViews>
    <customWorkbookView name="Given, Suzan - Personal View" guid="{00D01216-4B44-433C-B036-BE1A6969F2B5}" mergeInterval="0" personalView="1" maximized="1" xWindow="-8" yWindow="-8" windowWidth="1296" windowHeight="1010" activeSheetId="2"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5" i="16" l="1"/>
  <c r="M6" i="16"/>
  <c r="M7" i="16"/>
  <c r="M8" i="16"/>
  <c r="M9" i="16"/>
  <c r="M10" i="16"/>
  <c r="M11" i="16"/>
  <c r="M12" i="16"/>
  <c r="M13" i="16"/>
  <c r="M14" i="16"/>
  <c r="M15" i="16"/>
  <c r="M16" i="16"/>
  <c r="M17" i="16"/>
  <c r="M18" i="16"/>
  <c r="M19" i="16"/>
  <c r="M20" i="16"/>
  <c r="M21" i="16"/>
  <c r="M4" i="16"/>
  <c r="M5" i="1"/>
  <c r="M6" i="1"/>
  <c r="M7" i="1"/>
  <c r="M8" i="1"/>
  <c r="M9" i="1"/>
  <c r="M10" i="1"/>
  <c r="M11" i="1"/>
  <c r="M12" i="1"/>
  <c r="M13" i="1"/>
  <c r="M14" i="1"/>
  <c r="M15" i="1"/>
  <c r="M16" i="1"/>
  <c r="M17" i="1"/>
  <c r="M18" i="1"/>
  <c r="M19" i="1"/>
  <c r="M20" i="1"/>
  <c r="M21" i="1"/>
  <c r="M22" i="1"/>
  <c r="M4" i="1"/>
  <c r="P1" i="1"/>
  <c r="P20" i="2"/>
  <c r="Q46" i="2"/>
  <c r="Q47" i="2"/>
  <c r="P48" i="2"/>
  <c r="M51" i="2"/>
  <c r="D40" i="9"/>
  <c r="A40" i="9"/>
  <c r="G38" i="15"/>
  <c r="G35" i="2"/>
  <c r="G36" i="2"/>
  <c r="G28" i="15"/>
  <c r="G29" i="2"/>
  <c r="G30" i="15"/>
  <c r="G28" i="2"/>
  <c r="G17" i="15"/>
  <c r="G11" i="2"/>
  <c r="G14" i="15"/>
  <c r="G9" i="2"/>
  <c r="G14" i="2"/>
  <c r="G10" i="15"/>
  <c r="G11" i="15"/>
  <c r="G13" i="2"/>
  <c r="G13" i="15"/>
  <c r="G46" i="15" l="1"/>
  <c r="G40" i="15"/>
  <c r="G15" i="15"/>
  <c r="G16" i="15"/>
  <c r="G26" i="15"/>
  <c r="G26" i="2"/>
  <c r="Q12" i="15" l="1"/>
  <c r="S42" i="15"/>
  <c r="S43" i="15"/>
  <c r="S44" i="15"/>
  <c r="S45" i="15"/>
  <c r="S46" i="15"/>
  <c r="S47" i="15"/>
  <c r="S48" i="15"/>
  <c r="S25" i="15"/>
  <c r="S26" i="15"/>
  <c r="S27" i="15"/>
  <c r="S14" i="15"/>
  <c r="S15" i="15"/>
  <c r="S16" i="15"/>
  <c r="S17" i="15"/>
  <c r="AF36" i="15"/>
  <c r="AG36" i="15"/>
  <c r="AH36" i="15"/>
  <c r="AI36" i="15"/>
  <c r="AF37" i="15"/>
  <c r="AG37" i="15"/>
  <c r="AH37" i="15"/>
  <c r="AI37" i="15"/>
  <c r="AF38" i="15"/>
  <c r="AG38" i="15"/>
  <c r="AH38" i="15"/>
  <c r="AI38" i="15"/>
  <c r="AF40" i="15"/>
  <c r="AG40" i="15"/>
  <c r="AH40" i="15"/>
  <c r="AI40" i="15"/>
  <c r="AF41" i="15"/>
  <c r="AG41" i="15"/>
  <c r="AH41" i="15"/>
  <c r="AI41" i="15"/>
  <c r="AF42" i="15"/>
  <c r="AG42" i="15"/>
  <c r="AH42" i="15"/>
  <c r="AI42" i="15"/>
  <c r="AF43" i="15"/>
  <c r="AG43" i="15"/>
  <c r="AH43" i="15"/>
  <c r="AI43" i="15"/>
  <c r="AF44" i="15"/>
  <c r="AG44" i="15"/>
  <c r="AH44" i="15"/>
  <c r="AI44" i="15"/>
  <c r="AF45" i="15"/>
  <c r="AG45" i="15"/>
  <c r="AH45" i="15"/>
  <c r="AI45" i="15"/>
  <c r="AF46" i="15"/>
  <c r="AG46" i="15"/>
  <c r="AH46" i="15"/>
  <c r="AI46" i="15"/>
  <c r="AF47" i="15"/>
  <c r="AG47" i="15"/>
  <c r="AH47" i="15"/>
  <c r="AI47" i="15"/>
  <c r="AF48" i="15"/>
  <c r="AG48" i="15"/>
  <c r="AH48" i="15"/>
  <c r="AI48" i="15"/>
  <c r="AF49" i="15"/>
  <c r="AG49" i="15"/>
  <c r="AH49" i="15"/>
  <c r="AI49" i="15"/>
  <c r="AF50" i="15"/>
  <c r="AG50" i="15"/>
  <c r="AH50" i="15"/>
  <c r="AI50" i="15"/>
  <c r="AF51" i="15"/>
  <c r="AG51" i="15"/>
  <c r="AH51" i="15"/>
  <c r="AI51" i="15"/>
  <c r="AF52" i="15"/>
  <c r="AG52" i="15"/>
  <c r="AH52" i="15"/>
  <c r="AI52" i="15"/>
  <c r="AF53" i="15"/>
  <c r="AG53" i="15"/>
  <c r="AH53" i="15"/>
  <c r="AI53" i="15"/>
  <c r="AF54" i="15"/>
  <c r="AG54" i="15"/>
  <c r="AH54" i="15"/>
  <c r="AI54" i="15"/>
  <c r="AF55" i="15"/>
  <c r="AG55" i="15"/>
  <c r="AH55" i="15"/>
  <c r="AI55" i="15"/>
  <c r="AF58" i="15"/>
  <c r="AG58" i="15"/>
  <c r="AH58" i="15"/>
  <c r="AI58" i="15"/>
  <c r="AF59" i="15"/>
  <c r="AG59" i="15"/>
  <c r="AH59" i="15"/>
  <c r="AI59" i="15"/>
  <c r="AF60" i="15"/>
  <c r="AG60" i="15"/>
  <c r="AH60" i="15"/>
  <c r="AI60" i="15"/>
  <c r="F41" i="15"/>
  <c r="F42" i="15"/>
  <c r="F43" i="15"/>
  <c r="F44" i="15"/>
  <c r="F45" i="15"/>
  <c r="F46" i="15"/>
  <c r="F47" i="15"/>
  <c r="F48" i="15"/>
  <c r="F49" i="15"/>
  <c r="F50" i="15"/>
  <c r="F51" i="15"/>
  <c r="F52" i="15"/>
  <c r="F53" i="15"/>
  <c r="F54" i="15"/>
  <c r="F55" i="15"/>
  <c r="F58" i="15"/>
  <c r="F59" i="15"/>
  <c r="F60" i="15"/>
  <c r="F33" i="15"/>
  <c r="F36" i="15"/>
  <c r="F37" i="15"/>
  <c r="F38" i="15"/>
  <c r="F40" i="15"/>
  <c r="F10" i="15"/>
  <c r="F11" i="15"/>
  <c r="F12" i="15"/>
  <c r="F13" i="15"/>
  <c r="F14" i="15"/>
  <c r="F15" i="15"/>
  <c r="F16" i="15"/>
  <c r="F17" i="15"/>
  <c r="F18" i="15"/>
  <c r="F19" i="15"/>
  <c r="F20" i="15"/>
  <c r="F21" i="15"/>
  <c r="F23" i="15"/>
  <c r="F24" i="15"/>
  <c r="F25" i="15"/>
  <c r="F26" i="15"/>
  <c r="F27" i="15"/>
  <c r="F28" i="15"/>
  <c r="F29" i="15"/>
  <c r="F30" i="15"/>
  <c r="H36" i="15"/>
  <c r="I36" i="15"/>
  <c r="J36" i="15"/>
  <c r="K36" i="15"/>
  <c r="L36" i="15"/>
  <c r="M36" i="15"/>
  <c r="N36" i="15"/>
  <c r="O36" i="15"/>
  <c r="Q36" i="15"/>
  <c r="R36" i="15"/>
  <c r="S36" i="15"/>
  <c r="T36" i="15"/>
  <c r="U36" i="15"/>
  <c r="V36" i="15"/>
  <c r="W36" i="15"/>
  <c r="X36" i="15"/>
  <c r="Y36" i="15"/>
  <c r="AA36" i="15"/>
  <c r="AB36" i="15"/>
  <c r="AC36" i="15"/>
  <c r="AD36" i="15"/>
  <c r="H37" i="15"/>
  <c r="I37" i="15"/>
  <c r="J37" i="15"/>
  <c r="K37" i="15"/>
  <c r="L37" i="15"/>
  <c r="M37" i="15"/>
  <c r="N37" i="15"/>
  <c r="O37" i="15"/>
  <c r="Q37" i="15"/>
  <c r="R37" i="15"/>
  <c r="S37" i="15"/>
  <c r="T37" i="15"/>
  <c r="U37" i="15"/>
  <c r="V37" i="15"/>
  <c r="W37" i="15"/>
  <c r="X37" i="15"/>
  <c r="Y37" i="15"/>
  <c r="AA37" i="15"/>
  <c r="AB37" i="15"/>
  <c r="AC37" i="15"/>
  <c r="AD37" i="15"/>
  <c r="H38" i="15"/>
  <c r="I38" i="15"/>
  <c r="J38" i="15"/>
  <c r="K38" i="15"/>
  <c r="L38" i="15"/>
  <c r="M38" i="15"/>
  <c r="N38" i="15"/>
  <c r="O38" i="15"/>
  <c r="Q38" i="15"/>
  <c r="R38" i="15"/>
  <c r="S38" i="15"/>
  <c r="T38" i="15"/>
  <c r="U38" i="15"/>
  <c r="V38" i="15"/>
  <c r="W38" i="15"/>
  <c r="X38" i="15"/>
  <c r="Y38" i="15"/>
  <c r="AA38" i="15"/>
  <c r="AB38" i="15"/>
  <c r="AC38" i="15"/>
  <c r="AD38" i="15"/>
  <c r="AI33" i="15"/>
  <c r="AH33" i="15"/>
  <c r="AG33" i="15"/>
  <c r="AF33" i="15"/>
  <c r="AD33" i="15"/>
  <c r="AC33" i="15"/>
  <c r="AB33" i="15"/>
  <c r="AA33" i="15"/>
  <c r="Y33" i="15"/>
  <c r="X33" i="15"/>
  <c r="W33" i="15"/>
  <c r="V33" i="15"/>
  <c r="U33" i="15"/>
  <c r="T33" i="15"/>
  <c r="S33" i="15"/>
  <c r="R33" i="15"/>
  <c r="Q33" i="15"/>
  <c r="O33" i="15"/>
  <c r="N33" i="15"/>
  <c r="M33" i="15"/>
  <c r="L33" i="15"/>
  <c r="K33" i="15"/>
  <c r="J33" i="15"/>
  <c r="I33" i="15"/>
  <c r="H33" i="15"/>
  <c r="G33" i="15"/>
  <c r="G57" i="15"/>
  <c r="G56" i="15"/>
  <c r="G49" i="15"/>
  <c r="G48" i="15"/>
  <c r="G45" i="15"/>
  <c r="G41" i="15"/>
  <c r="G35" i="15"/>
  <c r="AD60" i="15"/>
  <c r="AC60" i="15"/>
  <c r="AB60" i="15"/>
  <c r="AA60" i="15"/>
  <c r="Y60" i="15"/>
  <c r="X60" i="15"/>
  <c r="W60" i="15"/>
  <c r="V60" i="15"/>
  <c r="U60" i="15"/>
  <c r="T60" i="15"/>
  <c r="S60" i="15"/>
  <c r="R60" i="15"/>
  <c r="Q60" i="15"/>
  <c r="O60" i="15"/>
  <c r="N60" i="15"/>
  <c r="P60" i="15" s="1"/>
  <c r="M60" i="15"/>
  <c r="L60" i="15"/>
  <c r="K60" i="15"/>
  <c r="J60" i="15"/>
  <c r="I60" i="15"/>
  <c r="H60" i="15"/>
  <c r="D60" i="15"/>
  <c r="E60" i="15" s="1"/>
  <c r="A60" i="15"/>
  <c r="AD59" i="15"/>
  <c r="AC59" i="15"/>
  <c r="AB59" i="15"/>
  <c r="AA59" i="15"/>
  <c r="Y59" i="15"/>
  <c r="X59" i="15"/>
  <c r="Z59" i="15" s="1"/>
  <c r="W59" i="15"/>
  <c r="V59" i="15"/>
  <c r="U59" i="15"/>
  <c r="S59" i="15"/>
  <c r="R59" i="15"/>
  <c r="Q59" i="15"/>
  <c r="O59" i="15"/>
  <c r="N59" i="15"/>
  <c r="M59" i="15"/>
  <c r="L59" i="15"/>
  <c r="K59" i="15"/>
  <c r="J59" i="15"/>
  <c r="I59" i="15"/>
  <c r="H59" i="15"/>
  <c r="D59" i="15"/>
  <c r="E59" i="15" s="1"/>
  <c r="A59" i="15"/>
  <c r="AD58" i="15"/>
  <c r="AC58" i="15"/>
  <c r="AB58" i="15"/>
  <c r="AA58" i="15"/>
  <c r="Y58" i="15"/>
  <c r="X58" i="15"/>
  <c r="W58" i="15"/>
  <c r="V58" i="15"/>
  <c r="U58" i="15"/>
  <c r="T58" i="15"/>
  <c r="S58" i="15"/>
  <c r="R58" i="15"/>
  <c r="Q58" i="15"/>
  <c r="O58" i="15"/>
  <c r="N58" i="15"/>
  <c r="M58" i="15"/>
  <c r="L58" i="15"/>
  <c r="K58" i="15"/>
  <c r="J58" i="15"/>
  <c r="I58" i="15"/>
  <c r="H58" i="15"/>
  <c r="D58" i="15"/>
  <c r="A58" i="15"/>
  <c r="D57" i="15"/>
  <c r="A57" i="15"/>
  <c r="D56" i="15"/>
  <c r="A56" i="15"/>
  <c r="AD55" i="15"/>
  <c r="AC55" i="15"/>
  <c r="AB55" i="15"/>
  <c r="AA55" i="15"/>
  <c r="Y55" i="15"/>
  <c r="X55" i="15"/>
  <c r="W55" i="15"/>
  <c r="V55" i="15"/>
  <c r="U55" i="15"/>
  <c r="T55" i="15"/>
  <c r="S55" i="15"/>
  <c r="R55" i="15"/>
  <c r="Q55" i="15"/>
  <c r="O55" i="15"/>
  <c r="N55" i="15"/>
  <c r="P55" i="15" s="1"/>
  <c r="M55" i="15"/>
  <c r="L55" i="15"/>
  <c r="K55" i="15"/>
  <c r="J55" i="15"/>
  <c r="I55" i="15"/>
  <c r="H55" i="15"/>
  <c r="D55" i="15"/>
  <c r="E55" i="15" s="1"/>
  <c r="A55" i="15"/>
  <c r="AD54" i="15"/>
  <c r="AC54" i="15"/>
  <c r="AB54" i="15"/>
  <c r="AA54" i="15"/>
  <c r="Y54" i="15"/>
  <c r="X54" i="15"/>
  <c r="Z54" i="15" s="1"/>
  <c r="W54" i="15"/>
  <c r="V54" i="15"/>
  <c r="U54" i="15"/>
  <c r="T54" i="15"/>
  <c r="S54" i="15"/>
  <c r="R54" i="15"/>
  <c r="Q54" i="15"/>
  <c r="O54" i="15"/>
  <c r="N54" i="15"/>
  <c r="M54" i="15"/>
  <c r="L54" i="15"/>
  <c r="K54" i="15"/>
  <c r="J54" i="15"/>
  <c r="I54" i="15"/>
  <c r="H54" i="15"/>
  <c r="D54" i="15"/>
  <c r="E54" i="15" s="1"/>
  <c r="A54" i="15"/>
  <c r="AD53" i="15"/>
  <c r="AC53" i="15"/>
  <c r="AB53" i="15"/>
  <c r="AA53" i="15"/>
  <c r="Y53" i="15"/>
  <c r="X53" i="15"/>
  <c r="Z53" i="15" s="1"/>
  <c r="W53" i="15"/>
  <c r="V53" i="15"/>
  <c r="U53" i="15"/>
  <c r="T53" i="15"/>
  <c r="S53" i="15"/>
  <c r="R53" i="15"/>
  <c r="Q53" i="15"/>
  <c r="O53" i="15"/>
  <c r="N53" i="15"/>
  <c r="P53" i="15" s="1"/>
  <c r="M53" i="15"/>
  <c r="L53" i="15"/>
  <c r="K53" i="15"/>
  <c r="J53" i="15"/>
  <c r="I53" i="15"/>
  <c r="H53" i="15"/>
  <c r="D53" i="15"/>
  <c r="E53" i="15" s="1"/>
  <c r="A53" i="15"/>
  <c r="AD52" i="15"/>
  <c r="AC52" i="15"/>
  <c r="AB52" i="15"/>
  <c r="AA52" i="15"/>
  <c r="Y52" i="15"/>
  <c r="X52" i="15"/>
  <c r="W52" i="15"/>
  <c r="V52" i="15"/>
  <c r="U52" i="15"/>
  <c r="T52" i="15"/>
  <c r="S52" i="15"/>
  <c r="R52" i="15"/>
  <c r="Q52" i="15"/>
  <c r="O52" i="15"/>
  <c r="N52" i="15"/>
  <c r="M52" i="15"/>
  <c r="L52" i="15"/>
  <c r="K52" i="15"/>
  <c r="J52" i="15"/>
  <c r="I52" i="15"/>
  <c r="H52" i="15"/>
  <c r="D52" i="15"/>
  <c r="E52" i="15" s="1"/>
  <c r="A52" i="15"/>
  <c r="AD51" i="15"/>
  <c r="AC51" i="15"/>
  <c r="AB51" i="15"/>
  <c r="AA51" i="15"/>
  <c r="Y51" i="15"/>
  <c r="X51" i="15"/>
  <c r="Z51" i="15" s="1"/>
  <c r="W51" i="15"/>
  <c r="V51" i="15"/>
  <c r="U51" i="15"/>
  <c r="T51" i="15"/>
  <c r="S51" i="15"/>
  <c r="R51" i="15"/>
  <c r="Q51" i="15"/>
  <c r="O51" i="15"/>
  <c r="N51" i="15"/>
  <c r="P51" i="15" s="1"/>
  <c r="M51" i="15"/>
  <c r="L51" i="15"/>
  <c r="K51" i="15"/>
  <c r="J51" i="15"/>
  <c r="I51" i="15"/>
  <c r="H51" i="15"/>
  <c r="D51" i="15"/>
  <c r="E51" i="15" s="1"/>
  <c r="A51" i="15"/>
  <c r="AD50" i="15"/>
  <c r="AC50" i="15"/>
  <c r="AB50" i="15"/>
  <c r="AA50" i="15"/>
  <c r="Y50" i="15"/>
  <c r="X50" i="15"/>
  <c r="Z50" i="15" s="1"/>
  <c r="W50" i="15"/>
  <c r="V50" i="15"/>
  <c r="U50" i="15"/>
  <c r="T50" i="15"/>
  <c r="S50" i="15"/>
  <c r="R50" i="15"/>
  <c r="Q50" i="15"/>
  <c r="O50" i="15"/>
  <c r="N50" i="15"/>
  <c r="P50" i="15" s="1"/>
  <c r="M50" i="15"/>
  <c r="L50" i="15"/>
  <c r="K50" i="15"/>
  <c r="J50" i="15"/>
  <c r="I50" i="15"/>
  <c r="H50" i="15"/>
  <c r="D50" i="15"/>
  <c r="E50" i="15" s="1"/>
  <c r="A50" i="15"/>
  <c r="AD49" i="15"/>
  <c r="AC49" i="15"/>
  <c r="AB49" i="15"/>
  <c r="AA49" i="15"/>
  <c r="Y49" i="15"/>
  <c r="X49" i="15"/>
  <c r="W49" i="15"/>
  <c r="V49" i="15"/>
  <c r="U49" i="15"/>
  <c r="T49" i="15"/>
  <c r="S49" i="15"/>
  <c r="R49" i="15"/>
  <c r="Q49" i="15"/>
  <c r="O49" i="15"/>
  <c r="N49" i="15"/>
  <c r="M49" i="15"/>
  <c r="L49" i="15"/>
  <c r="K49" i="15"/>
  <c r="J49" i="15"/>
  <c r="I49" i="15"/>
  <c r="H49" i="15"/>
  <c r="D49" i="15"/>
  <c r="E49" i="15" s="1"/>
  <c r="A49" i="15"/>
  <c r="AD48" i="15"/>
  <c r="AC48" i="15"/>
  <c r="AB48" i="15"/>
  <c r="AA48" i="15"/>
  <c r="Y48" i="15"/>
  <c r="X48" i="15"/>
  <c r="Z48" i="15" s="1"/>
  <c r="W48" i="15"/>
  <c r="V48" i="15"/>
  <c r="U48" i="15"/>
  <c r="T48" i="15"/>
  <c r="R48" i="15"/>
  <c r="Q48" i="15"/>
  <c r="O48" i="15"/>
  <c r="N48" i="15"/>
  <c r="M48" i="15"/>
  <c r="L48" i="15"/>
  <c r="K48" i="15"/>
  <c r="J48" i="15"/>
  <c r="I48" i="15"/>
  <c r="H48" i="15"/>
  <c r="D48" i="15"/>
  <c r="E48" i="15" s="1"/>
  <c r="A48" i="15"/>
  <c r="AD47" i="15"/>
  <c r="AC47" i="15"/>
  <c r="AB47" i="15"/>
  <c r="AA47" i="15"/>
  <c r="Y47" i="15"/>
  <c r="X47" i="15"/>
  <c r="Z47" i="15" s="1"/>
  <c r="W47" i="15"/>
  <c r="V47" i="15"/>
  <c r="U47" i="15"/>
  <c r="T47" i="15"/>
  <c r="R47" i="15"/>
  <c r="Q47" i="15"/>
  <c r="O47" i="15"/>
  <c r="N47" i="15"/>
  <c r="P47" i="15" s="1"/>
  <c r="M47" i="15"/>
  <c r="L47" i="15"/>
  <c r="K47" i="15"/>
  <c r="J47" i="15"/>
  <c r="I47" i="15"/>
  <c r="H47" i="15"/>
  <c r="D47" i="15"/>
  <c r="E47" i="15" s="1"/>
  <c r="A47" i="15"/>
  <c r="AD46" i="15"/>
  <c r="AC46" i="15"/>
  <c r="AB46" i="15"/>
  <c r="AA46" i="15"/>
  <c r="Y46" i="15"/>
  <c r="X46" i="15"/>
  <c r="Z46" i="15" s="1"/>
  <c r="W46" i="15"/>
  <c r="V46" i="15"/>
  <c r="U46" i="15"/>
  <c r="T46" i="15"/>
  <c r="R46" i="15"/>
  <c r="Q46" i="15"/>
  <c r="O46" i="15"/>
  <c r="N46" i="15"/>
  <c r="M46" i="15"/>
  <c r="L46" i="15"/>
  <c r="K46" i="15"/>
  <c r="J46" i="15"/>
  <c r="I46" i="15"/>
  <c r="H46" i="15"/>
  <c r="D46" i="15"/>
  <c r="E46" i="15" s="1"/>
  <c r="A46" i="15"/>
  <c r="AD45" i="15"/>
  <c r="AC45" i="15"/>
  <c r="AB45" i="15"/>
  <c r="AA45" i="15"/>
  <c r="Y45" i="15"/>
  <c r="X45" i="15"/>
  <c r="Z45" i="15" s="1"/>
  <c r="W45" i="15"/>
  <c r="V45" i="15"/>
  <c r="U45" i="15"/>
  <c r="T45" i="15"/>
  <c r="R45" i="15"/>
  <c r="Q45" i="15"/>
  <c r="O45" i="15"/>
  <c r="N45" i="15"/>
  <c r="M45" i="15"/>
  <c r="L45" i="15"/>
  <c r="K45" i="15"/>
  <c r="J45" i="15"/>
  <c r="I45" i="15"/>
  <c r="H45" i="15"/>
  <c r="D45" i="15"/>
  <c r="E45" i="15" s="1"/>
  <c r="A45" i="15"/>
  <c r="AD44" i="15"/>
  <c r="AC44" i="15"/>
  <c r="AB44" i="15"/>
  <c r="AA44" i="15"/>
  <c r="Y44" i="15"/>
  <c r="X44" i="15"/>
  <c r="Z44" i="15" s="1"/>
  <c r="W44" i="15"/>
  <c r="V44" i="15"/>
  <c r="U44" i="15"/>
  <c r="T44" i="15"/>
  <c r="R44" i="15"/>
  <c r="Q44" i="15"/>
  <c r="O44" i="15"/>
  <c r="N44" i="15"/>
  <c r="P44" i="15" s="1"/>
  <c r="M44" i="15"/>
  <c r="L44" i="15"/>
  <c r="K44" i="15"/>
  <c r="J44" i="15"/>
  <c r="I44" i="15"/>
  <c r="H44" i="15"/>
  <c r="D44" i="15"/>
  <c r="E44" i="15" s="1"/>
  <c r="A44" i="15"/>
  <c r="AD43" i="15"/>
  <c r="AC43" i="15"/>
  <c r="AB43" i="15"/>
  <c r="AA43" i="15"/>
  <c r="Y43" i="15"/>
  <c r="X43" i="15"/>
  <c r="W43" i="15"/>
  <c r="V43" i="15"/>
  <c r="U43" i="15"/>
  <c r="T43" i="15"/>
  <c r="R43" i="15"/>
  <c r="Q43" i="15"/>
  <c r="O43" i="15"/>
  <c r="N43" i="15"/>
  <c r="P43" i="15" s="1"/>
  <c r="M43" i="15"/>
  <c r="L43" i="15"/>
  <c r="K43" i="15"/>
  <c r="J43" i="15"/>
  <c r="I43" i="15"/>
  <c r="H43" i="15"/>
  <c r="D43" i="15"/>
  <c r="E43" i="15" s="1"/>
  <c r="A43" i="15"/>
  <c r="AD42" i="15"/>
  <c r="AC42" i="15"/>
  <c r="AB42" i="15"/>
  <c r="AA42" i="15"/>
  <c r="Y42" i="15"/>
  <c r="X42" i="15"/>
  <c r="Z42" i="15" s="1"/>
  <c r="W42" i="15"/>
  <c r="V42" i="15"/>
  <c r="U42" i="15"/>
  <c r="T42" i="15"/>
  <c r="R42" i="15"/>
  <c r="Q42" i="15"/>
  <c r="O42" i="15"/>
  <c r="N42" i="15"/>
  <c r="P42" i="15" s="1"/>
  <c r="M42" i="15"/>
  <c r="L42" i="15"/>
  <c r="K42" i="15"/>
  <c r="J42" i="15"/>
  <c r="I42" i="15"/>
  <c r="H42" i="15"/>
  <c r="D42" i="15"/>
  <c r="A42" i="15"/>
  <c r="AD41" i="15"/>
  <c r="AC41" i="15"/>
  <c r="AB41" i="15"/>
  <c r="AA41" i="15"/>
  <c r="Y41" i="15"/>
  <c r="X41" i="15"/>
  <c r="Z41" i="15" s="1"/>
  <c r="W41" i="15"/>
  <c r="V41" i="15"/>
  <c r="U41" i="15"/>
  <c r="T41" i="15"/>
  <c r="S41" i="15"/>
  <c r="R41" i="15"/>
  <c r="Q41" i="15"/>
  <c r="O41" i="15"/>
  <c r="N41" i="15"/>
  <c r="M41" i="15"/>
  <c r="L41" i="15"/>
  <c r="K41" i="15"/>
  <c r="J41" i="15"/>
  <c r="I41" i="15"/>
  <c r="H41" i="15"/>
  <c r="D41" i="15"/>
  <c r="A41" i="15"/>
  <c r="AD40" i="15"/>
  <c r="AC40" i="15"/>
  <c r="AB40" i="15"/>
  <c r="AA40" i="15"/>
  <c r="Y40" i="15"/>
  <c r="X40" i="15"/>
  <c r="W40" i="15"/>
  <c r="V40" i="15"/>
  <c r="U40" i="15"/>
  <c r="T40" i="15"/>
  <c r="S40" i="15"/>
  <c r="R40" i="15"/>
  <c r="Q40" i="15"/>
  <c r="O40" i="15"/>
  <c r="N40" i="15"/>
  <c r="M40" i="15"/>
  <c r="L40" i="15"/>
  <c r="K40" i="15"/>
  <c r="J40" i="15"/>
  <c r="I40" i="15"/>
  <c r="H40" i="15"/>
  <c r="D40" i="15"/>
  <c r="E40" i="15" s="1"/>
  <c r="A40" i="15"/>
  <c r="D39" i="15"/>
  <c r="A39" i="15"/>
  <c r="D38" i="15"/>
  <c r="A38" i="15"/>
  <c r="D37" i="15"/>
  <c r="A37" i="15"/>
  <c r="D36" i="15"/>
  <c r="A36" i="15"/>
  <c r="D35" i="15"/>
  <c r="E35" i="15" s="1"/>
  <c r="A35" i="15"/>
  <c r="D34" i="15"/>
  <c r="E34" i="15" s="1"/>
  <c r="A34" i="15"/>
  <c r="D33" i="15"/>
  <c r="A33" i="15"/>
  <c r="D32" i="15"/>
  <c r="A32" i="15"/>
  <c r="D31" i="15"/>
  <c r="E31" i="15" s="1"/>
  <c r="A31" i="15"/>
  <c r="AI30" i="15"/>
  <c r="AH30" i="15"/>
  <c r="AG30" i="15"/>
  <c r="AF30" i="15"/>
  <c r="AD30" i="15"/>
  <c r="AC30" i="15"/>
  <c r="AB30" i="15"/>
  <c r="AA30" i="15"/>
  <c r="Y30" i="15"/>
  <c r="X30" i="15"/>
  <c r="W30" i="15"/>
  <c r="V30" i="15"/>
  <c r="U30" i="15"/>
  <c r="T30" i="15"/>
  <c r="S30" i="15"/>
  <c r="R30" i="15"/>
  <c r="Q30" i="15"/>
  <c r="O30" i="15"/>
  <c r="N30" i="15"/>
  <c r="M30" i="15"/>
  <c r="L30" i="15"/>
  <c r="K30" i="15"/>
  <c r="J30" i="15"/>
  <c r="I30" i="15"/>
  <c r="H30" i="15"/>
  <c r="D30" i="15"/>
  <c r="E30" i="15" s="1"/>
  <c r="A30" i="15"/>
  <c r="AI29" i="15"/>
  <c r="AH29" i="15"/>
  <c r="AG29" i="15"/>
  <c r="AF29" i="15"/>
  <c r="AD29" i="15"/>
  <c r="AC29" i="15"/>
  <c r="AB29" i="15"/>
  <c r="AA29" i="15"/>
  <c r="Y29" i="15"/>
  <c r="X29" i="15"/>
  <c r="W29" i="15"/>
  <c r="V29" i="15"/>
  <c r="U29" i="15"/>
  <c r="T29" i="15"/>
  <c r="S29" i="15"/>
  <c r="R29" i="15"/>
  <c r="Q29" i="15"/>
  <c r="O29" i="15"/>
  <c r="N29" i="15"/>
  <c r="M29" i="15"/>
  <c r="L29" i="15"/>
  <c r="K29" i="15"/>
  <c r="J29" i="15"/>
  <c r="I29" i="15"/>
  <c r="H29" i="15"/>
  <c r="D29" i="15"/>
  <c r="E29" i="15" s="1"/>
  <c r="A29" i="15"/>
  <c r="AI28" i="15"/>
  <c r="AH28" i="15"/>
  <c r="AG28" i="15"/>
  <c r="AF28" i="15"/>
  <c r="AD28" i="15"/>
  <c r="AC28" i="15"/>
  <c r="AB28" i="15"/>
  <c r="AA28" i="15"/>
  <c r="Y28" i="15"/>
  <c r="X28" i="15"/>
  <c r="Z28" i="15" s="1"/>
  <c r="W28" i="15"/>
  <c r="V28" i="15"/>
  <c r="U28" i="15"/>
  <c r="T28" i="15"/>
  <c r="S28" i="15"/>
  <c r="R28" i="15"/>
  <c r="Q28" i="15"/>
  <c r="O28" i="15"/>
  <c r="N28" i="15"/>
  <c r="M28" i="15"/>
  <c r="L28" i="15"/>
  <c r="K28" i="15"/>
  <c r="J28" i="15"/>
  <c r="I28" i="15"/>
  <c r="H28" i="15"/>
  <c r="D28" i="15"/>
  <c r="E28" i="15" s="1"/>
  <c r="A28" i="15"/>
  <c r="AI27" i="15"/>
  <c r="AH27" i="15"/>
  <c r="AG27" i="15"/>
  <c r="AF27" i="15"/>
  <c r="AD27" i="15"/>
  <c r="AC27" i="15"/>
  <c r="AB27" i="15"/>
  <c r="AA27" i="15"/>
  <c r="Y27" i="15"/>
  <c r="X27" i="15"/>
  <c r="Z27" i="15" s="1"/>
  <c r="W27" i="15"/>
  <c r="V27" i="15"/>
  <c r="U27" i="15"/>
  <c r="T27" i="15"/>
  <c r="R27" i="15"/>
  <c r="Q27" i="15"/>
  <c r="O27" i="15"/>
  <c r="N27" i="15"/>
  <c r="M27" i="15"/>
  <c r="L27" i="15"/>
  <c r="K27" i="15"/>
  <c r="J27" i="15"/>
  <c r="I27" i="15"/>
  <c r="H27" i="15"/>
  <c r="D27" i="15"/>
  <c r="E27" i="15" s="1"/>
  <c r="A27" i="15"/>
  <c r="AI26" i="15"/>
  <c r="AH26" i="15"/>
  <c r="AG26" i="15"/>
  <c r="AF26" i="15"/>
  <c r="AD26" i="15"/>
  <c r="AC26" i="15"/>
  <c r="AB26" i="15"/>
  <c r="AA26" i="15"/>
  <c r="Y26" i="15"/>
  <c r="X26" i="15"/>
  <c r="W26" i="15"/>
  <c r="V26" i="15"/>
  <c r="U26" i="15"/>
  <c r="T26" i="15"/>
  <c r="R26" i="15"/>
  <c r="Q26" i="15"/>
  <c r="O26" i="15"/>
  <c r="N26" i="15"/>
  <c r="M26" i="15"/>
  <c r="L26" i="15"/>
  <c r="K26" i="15"/>
  <c r="J26" i="15"/>
  <c r="I26" i="15"/>
  <c r="H26" i="15"/>
  <c r="D26" i="15"/>
  <c r="A26" i="15"/>
  <c r="AI25" i="15"/>
  <c r="AH25" i="15"/>
  <c r="AG25" i="15"/>
  <c r="AF25" i="15"/>
  <c r="AD25" i="15"/>
  <c r="AC25" i="15"/>
  <c r="AB25" i="15"/>
  <c r="AA25" i="15"/>
  <c r="Y25" i="15"/>
  <c r="X25" i="15"/>
  <c r="Z25" i="15" s="1"/>
  <c r="W25" i="15"/>
  <c r="V25" i="15"/>
  <c r="U25" i="15"/>
  <c r="T25" i="15"/>
  <c r="R25" i="15"/>
  <c r="Q25" i="15"/>
  <c r="P25" i="15"/>
  <c r="O25" i="15"/>
  <c r="N25" i="15"/>
  <c r="M25" i="15"/>
  <c r="L25" i="15"/>
  <c r="K25" i="15"/>
  <c r="J25" i="15"/>
  <c r="I25" i="15"/>
  <c r="H25" i="15"/>
  <c r="D25" i="15"/>
  <c r="E25" i="15" s="1"/>
  <c r="A25" i="15"/>
  <c r="AI24" i="15"/>
  <c r="AH24" i="15"/>
  <c r="AG24" i="15"/>
  <c r="AF24" i="15"/>
  <c r="AD24" i="15"/>
  <c r="AC24" i="15"/>
  <c r="AB24" i="15"/>
  <c r="AA24" i="15"/>
  <c r="Y24" i="15"/>
  <c r="X24" i="15"/>
  <c r="W24" i="15"/>
  <c r="V24" i="15"/>
  <c r="U24" i="15"/>
  <c r="T24" i="15"/>
  <c r="R24" i="15"/>
  <c r="Q24" i="15"/>
  <c r="O24" i="15"/>
  <c r="N24" i="15"/>
  <c r="M24" i="15"/>
  <c r="L24" i="15"/>
  <c r="K24" i="15"/>
  <c r="J24" i="15"/>
  <c r="I24" i="15"/>
  <c r="H24" i="15"/>
  <c r="D24" i="15"/>
  <c r="E24" i="15" s="1"/>
  <c r="A24" i="15"/>
  <c r="AI23" i="15"/>
  <c r="AH23" i="15"/>
  <c r="AG23" i="15"/>
  <c r="AF23" i="15"/>
  <c r="AD23" i="15"/>
  <c r="AC23" i="15"/>
  <c r="AB23" i="15"/>
  <c r="AA23" i="15"/>
  <c r="Y23" i="15"/>
  <c r="X23" i="15"/>
  <c r="W23" i="15"/>
  <c r="V23" i="15"/>
  <c r="U23" i="15"/>
  <c r="T23" i="15"/>
  <c r="S23" i="15"/>
  <c r="R23" i="15"/>
  <c r="Q23" i="15"/>
  <c r="O23" i="15"/>
  <c r="N23" i="15"/>
  <c r="M23" i="15"/>
  <c r="L23" i="15"/>
  <c r="K23" i="15"/>
  <c r="J23" i="15"/>
  <c r="I23" i="15"/>
  <c r="H23" i="15"/>
  <c r="D23" i="15"/>
  <c r="E23" i="15" s="1"/>
  <c r="A23" i="15"/>
  <c r="D22" i="15"/>
  <c r="A22" i="15"/>
  <c r="AI21" i="15"/>
  <c r="AH21" i="15"/>
  <c r="AG21" i="15"/>
  <c r="AF21" i="15"/>
  <c r="AD21" i="15"/>
  <c r="AC21" i="15"/>
  <c r="AB21" i="15"/>
  <c r="AA21" i="15"/>
  <c r="Y21" i="15"/>
  <c r="X21" i="15"/>
  <c r="Z21" i="15" s="1"/>
  <c r="W21" i="15"/>
  <c r="V21" i="15"/>
  <c r="U21" i="15"/>
  <c r="T21" i="15"/>
  <c r="S21" i="15"/>
  <c r="R21" i="15"/>
  <c r="Q21" i="15"/>
  <c r="O21" i="15"/>
  <c r="N21" i="15"/>
  <c r="M21" i="15"/>
  <c r="L21" i="15"/>
  <c r="K21" i="15"/>
  <c r="J21" i="15"/>
  <c r="I21" i="15"/>
  <c r="H21" i="15"/>
  <c r="D21" i="15"/>
  <c r="E21" i="15" s="1"/>
  <c r="A21" i="15"/>
  <c r="AI20" i="15"/>
  <c r="AH20" i="15"/>
  <c r="AG20" i="15"/>
  <c r="AF20" i="15"/>
  <c r="AD20" i="15"/>
  <c r="AC20" i="15"/>
  <c r="AB20" i="15"/>
  <c r="AA20" i="15"/>
  <c r="Y20" i="15"/>
  <c r="X20" i="15"/>
  <c r="W20" i="15"/>
  <c r="V20" i="15"/>
  <c r="U20" i="15"/>
  <c r="T20" i="15"/>
  <c r="S20" i="15"/>
  <c r="R20" i="15"/>
  <c r="Q20" i="15"/>
  <c r="O20" i="15"/>
  <c r="N20" i="15"/>
  <c r="M20" i="15"/>
  <c r="L20" i="15"/>
  <c r="K20" i="15"/>
  <c r="J20" i="15"/>
  <c r="I20" i="15"/>
  <c r="H20" i="15"/>
  <c r="D20" i="15"/>
  <c r="E20" i="15" s="1"/>
  <c r="A20" i="15"/>
  <c r="AI19" i="15"/>
  <c r="AH19" i="15"/>
  <c r="AG19" i="15"/>
  <c r="AF19" i="15"/>
  <c r="AD19" i="15"/>
  <c r="AC19" i="15"/>
  <c r="AB19" i="15"/>
  <c r="AA19" i="15"/>
  <c r="Y19" i="15"/>
  <c r="X19" i="15"/>
  <c r="Z19" i="15" s="1"/>
  <c r="W19" i="15"/>
  <c r="V19" i="15"/>
  <c r="U19" i="15"/>
  <c r="T19" i="15"/>
  <c r="S19" i="15"/>
  <c r="R19" i="15"/>
  <c r="Q19" i="15"/>
  <c r="O19" i="15"/>
  <c r="N19" i="15"/>
  <c r="M19" i="15"/>
  <c r="L19" i="15"/>
  <c r="K19" i="15"/>
  <c r="J19" i="15"/>
  <c r="I19" i="15"/>
  <c r="H19" i="15"/>
  <c r="D19" i="15"/>
  <c r="E19" i="15" s="1"/>
  <c r="A19" i="15"/>
  <c r="AI18" i="15"/>
  <c r="AH18" i="15"/>
  <c r="AG18" i="15"/>
  <c r="AF18" i="15"/>
  <c r="AD18" i="15"/>
  <c r="AC18" i="15"/>
  <c r="AB18" i="15"/>
  <c r="AA18" i="15"/>
  <c r="Y18" i="15"/>
  <c r="X18" i="15"/>
  <c r="W18" i="15"/>
  <c r="V18" i="15"/>
  <c r="U18" i="15"/>
  <c r="T18" i="15"/>
  <c r="S18" i="15"/>
  <c r="R18" i="15"/>
  <c r="Q18" i="15"/>
  <c r="O18" i="15"/>
  <c r="N18" i="15"/>
  <c r="M18" i="15"/>
  <c r="L18" i="15"/>
  <c r="K18" i="15"/>
  <c r="J18" i="15"/>
  <c r="I18" i="15"/>
  <c r="H18" i="15"/>
  <c r="D18" i="15"/>
  <c r="E18" i="15" s="1"/>
  <c r="A18" i="15"/>
  <c r="AI17" i="15"/>
  <c r="AH17" i="15"/>
  <c r="AG17" i="15"/>
  <c r="AF17" i="15"/>
  <c r="AD17" i="15"/>
  <c r="AC17" i="15"/>
  <c r="AB17" i="15"/>
  <c r="AA17" i="15"/>
  <c r="Y17" i="15"/>
  <c r="X17" i="15"/>
  <c r="Z17" i="15" s="1"/>
  <c r="W17" i="15"/>
  <c r="V17" i="15"/>
  <c r="U17" i="15"/>
  <c r="T17" i="15"/>
  <c r="R17" i="15"/>
  <c r="Q17" i="15"/>
  <c r="O17" i="15"/>
  <c r="N17" i="15"/>
  <c r="M17" i="15"/>
  <c r="L17" i="15"/>
  <c r="K17" i="15"/>
  <c r="J17" i="15"/>
  <c r="I17" i="15"/>
  <c r="H17" i="15"/>
  <c r="D17" i="15"/>
  <c r="E17" i="15" s="1"/>
  <c r="A17" i="15"/>
  <c r="AI16" i="15"/>
  <c r="AH16" i="15"/>
  <c r="AG16" i="15"/>
  <c r="AF16" i="15"/>
  <c r="AD16" i="15"/>
  <c r="AC16" i="15"/>
  <c r="AB16" i="15"/>
  <c r="AA16" i="15"/>
  <c r="Y16" i="15"/>
  <c r="X16" i="15"/>
  <c r="Z16" i="15" s="1"/>
  <c r="W16" i="15"/>
  <c r="V16" i="15"/>
  <c r="U16" i="15"/>
  <c r="T16" i="15"/>
  <c r="R16" i="15"/>
  <c r="Q16" i="15"/>
  <c r="O16" i="15"/>
  <c r="N16" i="15"/>
  <c r="P16" i="15" s="1"/>
  <c r="M16" i="15"/>
  <c r="L16" i="15"/>
  <c r="K16" i="15"/>
  <c r="J16" i="15"/>
  <c r="I16" i="15"/>
  <c r="H16" i="15"/>
  <c r="D16" i="15"/>
  <c r="E16" i="15" s="1"/>
  <c r="A16" i="15"/>
  <c r="AI15" i="15"/>
  <c r="AH15" i="15"/>
  <c r="AG15" i="15"/>
  <c r="AF15" i="15"/>
  <c r="AD15" i="15"/>
  <c r="AC15" i="15"/>
  <c r="AB15" i="15"/>
  <c r="AA15" i="15"/>
  <c r="Y15" i="15"/>
  <c r="X15" i="15"/>
  <c r="Z15" i="15" s="1"/>
  <c r="W15" i="15"/>
  <c r="V15" i="15"/>
  <c r="U15" i="15"/>
  <c r="T15" i="15"/>
  <c r="R15" i="15"/>
  <c r="Q15" i="15"/>
  <c r="O15" i="15"/>
  <c r="N15" i="15"/>
  <c r="P15" i="15" s="1"/>
  <c r="M15" i="15"/>
  <c r="L15" i="15"/>
  <c r="K15" i="15"/>
  <c r="J15" i="15"/>
  <c r="I15" i="15"/>
  <c r="H15" i="15"/>
  <c r="D15" i="15"/>
  <c r="E15" i="15" s="1"/>
  <c r="A15" i="15"/>
  <c r="AI14" i="15"/>
  <c r="AH14" i="15"/>
  <c r="AG14" i="15"/>
  <c r="AF14" i="15"/>
  <c r="AD14" i="15"/>
  <c r="AC14" i="15"/>
  <c r="AB14" i="15"/>
  <c r="AA14" i="15"/>
  <c r="Y14" i="15"/>
  <c r="X14" i="15"/>
  <c r="Z14" i="15" s="1"/>
  <c r="W14" i="15"/>
  <c r="V14" i="15"/>
  <c r="U14" i="15"/>
  <c r="T14" i="15"/>
  <c r="R14" i="15"/>
  <c r="Q14" i="15"/>
  <c r="O14" i="15"/>
  <c r="N14" i="15"/>
  <c r="P14" i="15" s="1"/>
  <c r="M14" i="15"/>
  <c r="L14" i="15"/>
  <c r="K14" i="15"/>
  <c r="J14" i="15"/>
  <c r="I14" i="15"/>
  <c r="H14" i="15"/>
  <c r="D14" i="15"/>
  <c r="E14" i="15" s="1"/>
  <c r="A14" i="15"/>
  <c r="AI13" i="15"/>
  <c r="AH13" i="15"/>
  <c r="AG13" i="15"/>
  <c r="AF13" i="15"/>
  <c r="AD13" i="15"/>
  <c r="AC13" i="15"/>
  <c r="AB13" i="15"/>
  <c r="AA13" i="15"/>
  <c r="Y13" i="15"/>
  <c r="X13" i="15"/>
  <c r="Z13" i="15" s="1"/>
  <c r="W13" i="15"/>
  <c r="V13" i="15"/>
  <c r="U13" i="15"/>
  <c r="T13" i="15"/>
  <c r="S13" i="15"/>
  <c r="R13" i="15"/>
  <c r="Q13" i="15"/>
  <c r="O13" i="15"/>
  <c r="N13" i="15"/>
  <c r="P13" i="15" s="1"/>
  <c r="M13" i="15"/>
  <c r="L13" i="15"/>
  <c r="K13" i="15"/>
  <c r="J13" i="15"/>
  <c r="I13" i="15"/>
  <c r="H13" i="15"/>
  <c r="D13" i="15"/>
  <c r="E13" i="15" s="1"/>
  <c r="A13" i="15"/>
  <c r="AI12" i="15"/>
  <c r="AH12" i="15"/>
  <c r="AG12" i="15"/>
  <c r="AF12" i="15"/>
  <c r="AD12" i="15"/>
  <c r="AC12" i="15"/>
  <c r="AB12" i="15"/>
  <c r="AA12" i="15"/>
  <c r="Y12" i="15"/>
  <c r="X12" i="15"/>
  <c r="Z12" i="15" s="1"/>
  <c r="W12" i="15"/>
  <c r="V12" i="15"/>
  <c r="U12" i="15"/>
  <c r="T12" i="15"/>
  <c r="R12" i="15"/>
  <c r="O12" i="15"/>
  <c r="N12" i="15"/>
  <c r="M12" i="15"/>
  <c r="L12" i="15"/>
  <c r="K12" i="15"/>
  <c r="J12" i="15"/>
  <c r="I12" i="15"/>
  <c r="H12" i="15"/>
  <c r="D12" i="15"/>
  <c r="E12" i="15" s="1"/>
  <c r="A12" i="15"/>
  <c r="AI11" i="15"/>
  <c r="AH11" i="15"/>
  <c r="AG11" i="15"/>
  <c r="AF11" i="15"/>
  <c r="AD11" i="15"/>
  <c r="AC11" i="15"/>
  <c r="AB11" i="15"/>
  <c r="AA11" i="15"/>
  <c r="Y11" i="15"/>
  <c r="X11" i="15"/>
  <c r="Z11" i="15" s="1"/>
  <c r="W11" i="15"/>
  <c r="V11" i="15"/>
  <c r="U11" i="15"/>
  <c r="T11" i="15"/>
  <c r="S11" i="15"/>
  <c r="R11" i="15"/>
  <c r="Q11" i="15"/>
  <c r="O11" i="15"/>
  <c r="N11" i="15"/>
  <c r="M11" i="15"/>
  <c r="L11" i="15"/>
  <c r="K11" i="15"/>
  <c r="J11" i="15"/>
  <c r="I11" i="15"/>
  <c r="H11" i="15"/>
  <c r="D11" i="15"/>
  <c r="E11" i="15" s="1"/>
  <c r="A11" i="15"/>
  <c r="AI10" i="15"/>
  <c r="AH10" i="15"/>
  <c r="AG10" i="15"/>
  <c r="AF10" i="15"/>
  <c r="AD10" i="15"/>
  <c r="AC10" i="15"/>
  <c r="AB10" i="15"/>
  <c r="AA10" i="15"/>
  <c r="Y10" i="15"/>
  <c r="X10" i="15"/>
  <c r="Z10" i="15" s="1"/>
  <c r="W10" i="15"/>
  <c r="V10" i="15"/>
  <c r="U10" i="15"/>
  <c r="T10" i="15"/>
  <c r="S10" i="15"/>
  <c r="R10" i="15"/>
  <c r="Q10" i="15"/>
  <c r="O10" i="15"/>
  <c r="N10" i="15"/>
  <c r="M10" i="15"/>
  <c r="L10" i="15"/>
  <c r="K10" i="15"/>
  <c r="J10" i="15"/>
  <c r="I10" i="15"/>
  <c r="H10" i="15"/>
  <c r="D10" i="15"/>
  <c r="E10" i="15" s="1"/>
  <c r="A10" i="15"/>
  <c r="AI9" i="15"/>
  <c r="AH9" i="15"/>
  <c r="AG9" i="15"/>
  <c r="AF9" i="15"/>
  <c r="AD9" i="15"/>
  <c r="AC9" i="15"/>
  <c r="AB9" i="15"/>
  <c r="AA9" i="15"/>
  <c r="Y9" i="15"/>
  <c r="X9" i="15"/>
  <c r="Z9" i="15" s="1"/>
  <c r="W9" i="15"/>
  <c r="V9" i="15"/>
  <c r="U9" i="15"/>
  <c r="T9" i="15"/>
  <c r="S9" i="15"/>
  <c r="R9" i="15"/>
  <c r="Q9" i="15"/>
  <c r="O9" i="15"/>
  <c r="N9" i="15"/>
  <c r="M9" i="15"/>
  <c r="L9" i="15"/>
  <c r="K9" i="15"/>
  <c r="J9" i="15"/>
  <c r="I9" i="15"/>
  <c r="H9" i="15"/>
  <c r="F9" i="15"/>
  <c r="D9" i="15"/>
  <c r="E9" i="15" s="1"/>
  <c r="A9" i="15"/>
  <c r="F60" i="2"/>
  <c r="F50" i="2"/>
  <c r="F51" i="2"/>
  <c r="F52" i="2"/>
  <c r="F18" i="2"/>
  <c r="B54" i="14"/>
  <c r="B55" i="14"/>
  <c r="B37" i="14"/>
  <c r="B33" i="14"/>
  <c r="B32" i="14"/>
  <c r="B29" i="14"/>
  <c r="B30" i="14"/>
  <c r="B20" i="14"/>
  <c r="D22" i="2"/>
  <c r="A22" i="2"/>
  <c r="B20" i="3"/>
  <c r="B21" i="14"/>
  <c r="D21" i="14"/>
  <c r="F21" i="14"/>
  <c r="G21" i="14"/>
  <c r="H21" i="14"/>
  <c r="I21" i="14"/>
  <c r="J21" i="14"/>
  <c r="K21" i="14"/>
  <c r="L21" i="14"/>
  <c r="M21" i="14"/>
  <c r="N21" i="14"/>
  <c r="O21" i="14"/>
  <c r="P21" i="14"/>
  <c r="Q21" i="14"/>
  <c r="R21" i="14"/>
  <c r="S21" i="14"/>
  <c r="T21" i="14"/>
  <c r="U21" i="14"/>
  <c r="V21" i="14"/>
  <c r="W21" i="14"/>
  <c r="X21" i="14"/>
  <c r="Y21" i="14"/>
  <c r="Z21" i="14"/>
  <c r="AA21" i="14"/>
  <c r="AB21" i="14"/>
  <c r="AC21" i="14"/>
  <c r="AD21" i="14"/>
  <c r="AE21" i="14"/>
  <c r="AF21" i="14"/>
  <c r="AG21" i="14"/>
  <c r="AH21" i="14"/>
  <c r="AI21" i="14"/>
  <c r="AJ21" i="14"/>
  <c r="AK21" i="14"/>
  <c r="AL21" i="14"/>
  <c r="AM21" i="14"/>
  <c r="AN21" i="14"/>
  <c r="AO21" i="14"/>
  <c r="AQ21" i="14"/>
  <c r="AR21" i="14"/>
  <c r="AS21" i="14"/>
  <c r="AT21" i="14"/>
  <c r="AU21" i="14"/>
  <c r="AV21" i="14"/>
  <c r="AW21" i="14"/>
  <c r="AX21" i="14"/>
  <c r="AY21" i="14"/>
  <c r="BA21" i="14"/>
  <c r="BB21" i="14"/>
  <c r="BC21" i="14"/>
  <c r="BD21" i="14"/>
  <c r="BE21" i="14"/>
  <c r="BG21" i="14"/>
  <c r="BH21" i="14"/>
  <c r="BI21" i="14"/>
  <c r="BJ21" i="14"/>
  <c r="BK21" i="14"/>
  <c r="BL21" i="14"/>
  <c r="BM21" i="14"/>
  <c r="BN21" i="14"/>
  <c r="BO21" i="14"/>
  <c r="D64" i="9"/>
  <c r="D8" i="14"/>
  <c r="D9" i="14"/>
  <c r="D10" i="14"/>
  <c r="D11" i="14"/>
  <c r="D12" i="14"/>
  <c r="D13" i="14"/>
  <c r="D14" i="14"/>
  <c r="D15" i="14"/>
  <c r="D16" i="14"/>
  <c r="D17" i="14"/>
  <c r="D18" i="14"/>
  <c r="D19" i="14"/>
  <c r="D22" i="14"/>
  <c r="D23" i="14"/>
  <c r="D24" i="14"/>
  <c r="D25" i="14"/>
  <c r="D26" i="14"/>
  <c r="D27" i="14"/>
  <c r="D28" i="14"/>
  <c r="D31" i="14"/>
  <c r="D34" i="14"/>
  <c r="D35" i="14"/>
  <c r="D36" i="14"/>
  <c r="D38" i="14"/>
  <c r="D39" i="14"/>
  <c r="D40" i="14"/>
  <c r="D41" i="14"/>
  <c r="D42" i="14"/>
  <c r="D43" i="14"/>
  <c r="D44" i="14"/>
  <c r="D45" i="14"/>
  <c r="D46" i="14"/>
  <c r="D47" i="14"/>
  <c r="D48" i="14"/>
  <c r="D49" i="14"/>
  <c r="D50" i="14"/>
  <c r="D51" i="14"/>
  <c r="D52" i="14"/>
  <c r="D53" i="14"/>
  <c r="D56" i="14"/>
  <c r="D57" i="14"/>
  <c r="D58" i="14"/>
  <c r="BA8" i="14"/>
  <c r="BB8" i="14"/>
  <c r="BC8" i="14"/>
  <c r="BD8" i="14"/>
  <c r="BE8" i="14"/>
  <c r="BG8" i="14"/>
  <c r="BH8" i="14"/>
  <c r="BI8" i="14"/>
  <c r="BJ8" i="14"/>
  <c r="BK8" i="14"/>
  <c r="BL8" i="14"/>
  <c r="BM8" i="14"/>
  <c r="BN8" i="14"/>
  <c r="BO8" i="14"/>
  <c r="BA9" i="14"/>
  <c r="BB9" i="14"/>
  <c r="BC9" i="14"/>
  <c r="BD9" i="14"/>
  <c r="BE9" i="14"/>
  <c r="BG9" i="14"/>
  <c r="BH9" i="14"/>
  <c r="BI9" i="14"/>
  <c r="BJ9" i="14"/>
  <c r="BK9" i="14"/>
  <c r="BL9" i="14"/>
  <c r="BM9" i="14"/>
  <c r="BN9" i="14"/>
  <c r="BO9" i="14"/>
  <c r="BA10" i="14"/>
  <c r="BB10" i="14"/>
  <c r="BC10" i="14"/>
  <c r="BD10" i="14"/>
  <c r="BE10" i="14"/>
  <c r="BG10" i="14"/>
  <c r="BH10" i="14"/>
  <c r="BI10" i="14"/>
  <c r="BJ10" i="14"/>
  <c r="BK10" i="14"/>
  <c r="BL10" i="14"/>
  <c r="BM10" i="14"/>
  <c r="BN10" i="14"/>
  <c r="BO10" i="14"/>
  <c r="BA11" i="14"/>
  <c r="BB11" i="14"/>
  <c r="BC11" i="14"/>
  <c r="BD11" i="14"/>
  <c r="BE11" i="14"/>
  <c r="BG11" i="14"/>
  <c r="BH11" i="14"/>
  <c r="BI11" i="14"/>
  <c r="BJ11" i="14"/>
  <c r="BK11" i="14"/>
  <c r="BL11" i="14"/>
  <c r="BM11" i="14"/>
  <c r="BN11" i="14"/>
  <c r="BO11" i="14"/>
  <c r="BA12" i="14"/>
  <c r="BB12" i="14"/>
  <c r="BC12" i="14"/>
  <c r="BD12" i="14"/>
  <c r="BE12" i="14"/>
  <c r="BG12" i="14"/>
  <c r="BH12" i="14"/>
  <c r="BI12" i="14"/>
  <c r="BJ12" i="14"/>
  <c r="BK12" i="14"/>
  <c r="BL12" i="14"/>
  <c r="BM12" i="14"/>
  <c r="BN12" i="14"/>
  <c r="BO12" i="14"/>
  <c r="BA13" i="14"/>
  <c r="BB13" i="14"/>
  <c r="BC13" i="14"/>
  <c r="BD13" i="14"/>
  <c r="BE13" i="14"/>
  <c r="BG13" i="14"/>
  <c r="BH13" i="14"/>
  <c r="BI13" i="14"/>
  <c r="BJ13" i="14"/>
  <c r="BK13" i="14"/>
  <c r="BL13" i="14"/>
  <c r="BM13" i="14"/>
  <c r="BN13" i="14"/>
  <c r="BO13" i="14"/>
  <c r="BA14" i="14"/>
  <c r="BB14" i="14"/>
  <c r="BC14" i="14"/>
  <c r="BD14" i="14"/>
  <c r="BE14" i="14"/>
  <c r="BG14" i="14"/>
  <c r="BH14" i="14"/>
  <c r="BI14" i="14"/>
  <c r="BJ14" i="14"/>
  <c r="BK14" i="14"/>
  <c r="BL14" i="14"/>
  <c r="BM14" i="14"/>
  <c r="BN14" i="14"/>
  <c r="BO14" i="14"/>
  <c r="BA15" i="14"/>
  <c r="BB15" i="14"/>
  <c r="BC15" i="14"/>
  <c r="BD15" i="14"/>
  <c r="BE15" i="14"/>
  <c r="BG15" i="14"/>
  <c r="BH15" i="14"/>
  <c r="BI15" i="14"/>
  <c r="BJ15" i="14"/>
  <c r="BK15" i="14"/>
  <c r="BL15" i="14"/>
  <c r="BM15" i="14"/>
  <c r="BN15" i="14"/>
  <c r="BO15" i="14"/>
  <c r="BA16" i="14"/>
  <c r="BB16" i="14"/>
  <c r="BC16" i="14"/>
  <c r="BD16" i="14"/>
  <c r="BE16" i="14"/>
  <c r="BG16" i="14"/>
  <c r="BH16" i="14"/>
  <c r="BI16" i="14"/>
  <c r="BJ16" i="14"/>
  <c r="BK16" i="14"/>
  <c r="BL16" i="14"/>
  <c r="BM16" i="14"/>
  <c r="BN16" i="14"/>
  <c r="BO16" i="14"/>
  <c r="BA17" i="14"/>
  <c r="BB17" i="14"/>
  <c r="BC17" i="14"/>
  <c r="BD17" i="14"/>
  <c r="BE17" i="14"/>
  <c r="BG17" i="14"/>
  <c r="BH17" i="14"/>
  <c r="BI17" i="14"/>
  <c r="BJ17" i="14"/>
  <c r="BK17" i="14"/>
  <c r="BL17" i="14"/>
  <c r="BM17" i="14"/>
  <c r="BN17" i="14"/>
  <c r="BO17" i="14"/>
  <c r="BA18" i="14"/>
  <c r="BB18" i="14"/>
  <c r="BC18" i="14"/>
  <c r="BD18" i="14"/>
  <c r="BE18" i="14"/>
  <c r="BG18" i="14"/>
  <c r="BH18" i="14"/>
  <c r="BI18" i="14"/>
  <c r="BJ18" i="14"/>
  <c r="BK18" i="14"/>
  <c r="BL18" i="14"/>
  <c r="BM18" i="14"/>
  <c r="BN18" i="14"/>
  <c r="BO18" i="14"/>
  <c r="BA19" i="14"/>
  <c r="BB19" i="14"/>
  <c r="BC19" i="14"/>
  <c r="BD19" i="14"/>
  <c r="BE19" i="14"/>
  <c r="BG19" i="14"/>
  <c r="BH19" i="14"/>
  <c r="BI19" i="14"/>
  <c r="BJ19" i="14"/>
  <c r="BK19" i="14"/>
  <c r="BL19" i="14"/>
  <c r="BM19" i="14"/>
  <c r="BN19" i="14"/>
  <c r="BO19" i="14"/>
  <c r="BA22" i="14"/>
  <c r="BB22" i="14"/>
  <c r="BC22" i="14"/>
  <c r="BD22" i="14"/>
  <c r="BE22" i="14"/>
  <c r="BG22" i="14"/>
  <c r="BH22" i="14"/>
  <c r="BI22" i="14"/>
  <c r="BJ22" i="14"/>
  <c r="BK22" i="14"/>
  <c r="BL22" i="14"/>
  <c r="BM22" i="14"/>
  <c r="BN22" i="14"/>
  <c r="BO22" i="14"/>
  <c r="BA23" i="14"/>
  <c r="BB23" i="14"/>
  <c r="BC23" i="14"/>
  <c r="BD23" i="14"/>
  <c r="BE23" i="14"/>
  <c r="BG23" i="14"/>
  <c r="BH23" i="14"/>
  <c r="BI23" i="14"/>
  <c r="BJ23" i="14"/>
  <c r="BK23" i="14"/>
  <c r="BL23" i="14"/>
  <c r="BM23" i="14"/>
  <c r="BN23" i="14"/>
  <c r="BO23" i="14"/>
  <c r="BA24" i="14"/>
  <c r="BB24" i="14"/>
  <c r="BC24" i="14"/>
  <c r="BD24" i="14"/>
  <c r="BE24" i="14"/>
  <c r="BG24" i="14"/>
  <c r="BH24" i="14"/>
  <c r="BI24" i="14"/>
  <c r="BJ24" i="14"/>
  <c r="BK24" i="14"/>
  <c r="BL24" i="14"/>
  <c r="BM24" i="14"/>
  <c r="BN24" i="14"/>
  <c r="BO24" i="14"/>
  <c r="BA25" i="14"/>
  <c r="BB25" i="14"/>
  <c r="BC25" i="14"/>
  <c r="BD25" i="14"/>
  <c r="BE25" i="14"/>
  <c r="BG25" i="14"/>
  <c r="BH25" i="14"/>
  <c r="BI25" i="14"/>
  <c r="BJ25" i="14"/>
  <c r="BK25" i="14"/>
  <c r="BL25" i="14"/>
  <c r="BM25" i="14"/>
  <c r="BN25" i="14"/>
  <c r="BO25" i="14"/>
  <c r="BA26" i="14"/>
  <c r="BB26" i="14"/>
  <c r="BC26" i="14"/>
  <c r="BD26" i="14"/>
  <c r="BE26" i="14"/>
  <c r="BG26" i="14"/>
  <c r="BH26" i="14"/>
  <c r="BI26" i="14"/>
  <c r="BJ26" i="14"/>
  <c r="BK26" i="14"/>
  <c r="BL26" i="14"/>
  <c r="BM26" i="14"/>
  <c r="BN26" i="14"/>
  <c r="BO26" i="14"/>
  <c r="BA27" i="14"/>
  <c r="BB27" i="14"/>
  <c r="BC27" i="14"/>
  <c r="BD27" i="14"/>
  <c r="BE27" i="14"/>
  <c r="BG27" i="14"/>
  <c r="BH27" i="14"/>
  <c r="BI27" i="14"/>
  <c r="BJ27" i="14"/>
  <c r="BK27" i="14"/>
  <c r="BL27" i="14"/>
  <c r="BM27" i="14"/>
  <c r="BN27" i="14"/>
  <c r="BO27" i="14"/>
  <c r="BA28" i="14"/>
  <c r="BB28" i="14"/>
  <c r="BC28" i="14"/>
  <c r="BD28" i="14"/>
  <c r="BE28" i="14"/>
  <c r="BG28" i="14"/>
  <c r="BH28" i="14"/>
  <c r="BI28" i="14"/>
  <c r="BJ28" i="14"/>
  <c r="BK28" i="14"/>
  <c r="BL28" i="14"/>
  <c r="BM28" i="14"/>
  <c r="BN28" i="14"/>
  <c r="BO28" i="14"/>
  <c r="BA31" i="14"/>
  <c r="BB31" i="14"/>
  <c r="BC31" i="14"/>
  <c r="BD31" i="14"/>
  <c r="BE31" i="14"/>
  <c r="BG31" i="14"/>
  <c r="BH31" i="14"/>
  <c r="BI31" i="14"/>
  <c r="BJ31" i="14"/>
  <c r="BK31" i="14"/>
  <c r="BL31" i="14"/>
  <c r="BM31" i="14"/>
  <c r="BN31" i="14"/>
  <c r="BO31" i="14"/>
  <c r="BA34" i="14"/>
  <c r="BB34" i="14"/>
  <c r="BC34" i="14"/>
  <c r="BD34" i="14"/>
  <c r="BE34" i="14"/>
  <c r="BG34" i="14"/>
  <c r="BH34" i="14"/>
  <c r="BI34" i="14"/>
  <c r="BJ34" i="14"/>
  <c r="BK34" i="14"/>
  <c r="BL34" i="14"/>
  <c r="BM34" i="14"/>
  <c r="BN34" i="14"/>
  <c r="BO34" i="14"/>
  <c r="BA35" i="14"/>
  <c r="BB35" i="14"/>
  <c r="BC35" i="14"/>
  <c r="BD35" i="14"/>
  <c r="BE35" i="14"/>
  <c r="BG35" i="14"/>
  <c r="BH35" i="14"/>
  <c r="BI35" i="14"/>
  <c r="BJ35" i="14"/>
  <c r="BK35" i="14"/>
  <c r="BL35" i="14"/>
  <c r="BM35" i="14"/>
  <c r="BN35" i="14"/>
  <c r="BO35" i="14"/>
  <c r="BA36" i="14"/>
  <c r="BB36" i="14"/>
  <c r="BC36" i="14"/>
  <c r="BD36" i="14"/>
  <c r="BE36" i="14"/>
  <c r="BG36" i="14"/>
  <c r="BH36" i="14"/>
  <c r="BI36" i="14"/>
  <c r="BJ36" i="14"/>
  <c r="BK36" i="14"/>
  <c r="BL36" i="14"/>
  <c r="BM36" i="14"/>
  <c r="BN36" i="14"/>
  <c r="BO36" i="14"/>
  <c r="BA38" i="14"/>
  <c r="BB38" i="14"/>
  <c r="BC38" i="14"/>
  <c r="BD38" i="14"/>
  <c r="BE38" i="14"/>
  <c r="BG38" i="14"/>
  <c r="BH38" i="14"/>
  <c r="BI38" i="14"/>
  <c r="BJ38" i="14"/>
  <c r="BK38" i="14"/>
  <c r="BL38" i="14"/>
  <c r="BM38" i="14"/>
  <c r="BN38" i="14"/>
  <c r="BO38" i="14"/>
  <c r="BA39" i="14"/>
  <c r="BB39" i="14"/>
  <c r="BC39" i="14"/>
  <c r="BD39" i="14"/>
  <c r="BE39" i="14"/>
  <c r="BG39" i="14"/>
  <c r="BH39" i="14"/>
  <c r="BI39" i="14"/>
  <c r="BJ39" i="14"/>
  <c r="BK39" i="14"/>
  <c r="BL39" i="14"/>
  <c r="BM39" i="14"/>
  <c r="BN39" i="14"/>
  <c r="BO39" i="14"/>
  <c r="BA40" i="14"/>
  <c r="BB40" i="14"/>
  <c r="BC40" i="14"/>
  <c r="BD40" i="14"/>
  <c r="BE40" i="14"/>
  <c r="BG40" i="14"/>
  <c r="BH40" i="14"/>
  <c r="BI40" i="14"/>
  <c r="BJ40" i="14"/>
  <c r="BK40" i="14"/>
  <c r="BL40" i="14"/>
  <c r="BM40" i="14"/>
  <c r="BN40" i="14"/>
  <c r="BO40" i="14"/>
  <c r="BA41" i="14"/>
  <c r="BB41" i="14"/>
  <c r="BC41" i="14"/>
  <c r="BD41" i="14"/>
  <c r="BE41" i="14"/>
  <c r="BG41" i="14"/>
  <c r="BH41" i="14"/>
  <c r="BI41" i="14"/>
  <c r="BJ41" i="14"/>
  <c r="BK41" i="14"/>
  <c r="BL41" i="14"/>
  <c r="BM41" i="14"/>
  <c r="BN41" i="14"/>
  <c r="BO41" i="14"/>
  <c r="BA42" i="14"/>
  <c r="BB42" i="14"/>
  <c r="BC42" i="14"/>
  <c r="BD42" i="14"/>
  <c r="BE42" i="14"/>
  <c r="BG42" i="14"/>
  <c r="BH42" i="14"/>
  <c r="BI42" i="14"/>
  <c r="BJ42" i="14"/>
  <c r="BK42" i="14"/>
  <c r="BL42" i="14"/>
  <c r="BM42" i="14"/>
  <c r="BN42" i="14"/>
  <c r="BO42" i="14"/>
  <c r="BA43" i="14"/>
  <c r="BB43" i="14"/>
  <c r="BC43" i="14"/>
  <c r="BD43" i="14"/>
  <c r="BE43" i="14"/>
  <c r="BG43" i="14"/>
  <c r="BH43" i="14"/>
  <c r="BI43" i="14"/>
  <c r="BJ43" i="14"/>
  <c r="BK43" i="14"/>
  <c r="BL43" i="14"/>
  <c r="BM43" i="14"/>
  <c r="BN43" i="14"/>
  <c r="BO43" i="14"/>
  <c r="BA44" i="14"/>
  <c r="BB44" i="14"/>
  <c r="BC44" i="14"/>
  <c r="BD44" i="14"/>
  <c r="BE44" i="14"/>
  <c r="BG44" i="14"/>
  <c r="BH44" i="14"/>
  <c r="BI44" i="14"/>
  <c r="BJ44" i="14"/>
  <c r="BK44" i="14"/>
  <c r="BL44" i="14"/>
  <c r="BM44" i="14"/>
  <c r="BN44" i="14"/>
  <c r="BO44" i="14"/>
  <c r="BA45" i="14"/>
  <c r="BB45" i="14"/>
  <c r="BC45" i="14"/>
  <c r="BD45" i="14"/>
  <c r="BE45" i="14"/>
  <c r="BG45" i="14"/>
  <c r="BH45" i="14"/>
  <c r="BI45" i="14"/>
  <c r="BJ45" i="14"/>
  <c r="BK45" i="14"/>
  <c r="BL45" i="14"/>
  <c r="BM45" i="14"/>
  <c r="BN45" i="14"/>
  <c r="BO45" i="14"/>
  <c r="BA46" i="14"/>
  <c r="BB46" i="14"/>
  <c r="BC46" i="14"/>
  <c r="BD46" i="14"/>
  <c r="BE46" i="14"/>
  <c r="BG46" i="14"/>
  <c r="BH46" i="14"/>
  <c r="BI46" i="14"/>
  <c r="BJ46" i="14"/>
  <c r="BK46" i="14"/>
  <c r="BL46" i="14"/>
  <c r="BM46" i="14"/>
  <c r="BN46" i="14"/>
  <c r="BO46" i="14"/>
  <c r="BA47" i="14"/>
  <c r="BB47" i="14"/>
  <c r="BC47" i="14"/>
  <c r="BD47" i="14"/>
  <c r="BE47" i="14"/>
  <c r="BG47" i="14"/>
  <c r="BH47" i="14"/>
  <c r="BI47" i="14"/>
  <c r="BJ47" i="14"/>
  <c r="BK47" i="14"/>
  <c r="BL47" i="14"/>
  <c r="BM47" i="14"/>
  <c r="BN47" i="14"/>
  <c r="BO47" i="14"/>
  <c r="BA48" i="14"/>
  <c r="BB48" i="14"/>
  <c r="BC48" i="14"/>
  <c r="BD48" i="14"/>
  <c r="BE48" i="14"/>
  <c r="BG48" i="14"/>
  <c r="BH48" i="14"/>
  <c r="BI48" i="14"/>
  <c r="BJ48" i="14"/>
  <c r="BK48" i="14"/>
  <c r="BL48" i="14"/>
  <c r="BM48" i="14"/>
  <c r="BN48" i="14"/>
  <c r="BO48" i="14"/>
  <c r="BA49" i="14"/>
  <c r="BB49" i="14"/>
  <c r="BC49" i="14"/>
  <c r="BD49" i="14"/>
  <c r="BE49" i="14"/>
  <c r="BG49" i="14"/>
  <c r="BH49" i="14"/>
  <c r="BI49" i="14"/>
  <c r="BJ49" i="14"/>
  <c r="BK49" i="14"/>
  <c r="BL49" i="14"/>
  <c r="BM49" i="14"/>
  <c r="BN49" i="14"/>
  <c r="BO49" i="14"/>
  <c r="BA50" i="14"/>
  <c r="BB50" i="14"/>
  <c r="BC50" i="14"/>
  <c r="BD50" i="14"/>
  <c r="BE50" i="14"/>
  <c r="BG50" i="14"/>
  <c r="BH50" i="14"/>
  <c r="BI50" i="14"/>
  <c r="BJ50" i="14"/>
  <c r="BK50" i="14"/>
  <c r="BL50" i="14"/>
  <c r="BM50" i="14"/>
  <c r="BN50" i="14"/>
  <c r="BO50" i="14"/>
  <c r="BA51" i="14"/>
  <c r="BB51" i="14"/>
  <c r="BC51" i="14"/>
  <c r="BD51" i="14"/>
  <c r="BE51" i="14"/>
  <c r="BG51" i="14"/>
  <c r="BH51" i="14"/>
  <c r="BI51" i="14"/>
  <c r="BJ51" i="14"/>
  <c r="BK51" i="14"/>
  <c r="BL51" i="14"/>
  <c r="BM51" i="14"/>
  <c r="BN51" i="14"/>
  <c r="BO51" i="14"/>
  <c r="BA52" i="14"/>
  <c r="BB52" i="14"/>
  <c r="BC52" i="14"/>
  <c r="BD52" i="14"/>
  <c r="BE52" i="14"/>
  <c r="BG52" i="14"/>
  <c r="BH52" i="14"/>
  <c r="BI52" i="14"/>
  <c r="BJ52" i="14"/>
  <c r="BK52" i="14"/>
  <c r="BL52" i="14"/>
  <c r="BM52" i="14"/>
  <c r="BN52" i="14"/>
  <c r="BO52" i="14"/>
  <c r="BA53" i="14"/>
  <c r="BB53" i="14"/>
  <c r="BC53" i="14"/>
  <c r="BD53" i="14"/>
  <c r="BE53" i="14"/>
  <c r="BG53" i="14"/>
  <c r="BH53" i="14"/>
  <c r="BI53" i="14"/>
  <c r="BJ53" i="14"/>
  <c r="BK53" i="14"/>
  <c r="BL53" i="14"/>
  <c r="BM53" i="14"/>
  <c r="BN53" i="14"/>
  <c r="BO53" i="14"/>
  <c r="BA56" i="14"/>
  <c r="BB56" i="14"/>
  <c r="BC56" i="14"/>
  <c r="BD56" i="14"/>
  <c r="BE56" i="14"/>
  <c r="BG56" i="14"/>
  <c r="BH56" i="14"/>
  <c r="BI56" i="14"/>
  <c r="BJ56" i="14"/>
  <c r="BK56" i="14"/>
  <c r="BL56" i="14"/>
  <c r="BM56" i="14"/>
  <c r="BN56" i="14"/>
  <c r="BO56" i="14"/>
  <c r="BA57" i="14"/>
  <c r="BB57" i="14"/>
  <c r="BC57" i="14"/>
  <c r="BD57" i="14"/>
  <c r="BE57" i="14"/>
  <c r="BG57" i="14"/>
  <c r="BH57" i="14"/>
  <c r="BI57" i="14"/>
  <c r="BJ57" i="14"/>
  <c r="BK57" i="14"/>
  <c r="BL57" i="14"/>
  <c r="BM57" i="14"/>
  <c r="BN57" i="14"/>
  <c r="BO57" i="14"/>
  <c r="BA58" i="14"/>
  <c r="BB58" i="14"/>
  <c r="BC58" i="14"/>
  <c r="BD58" i="14"/>
  <c r="BE58" i="14"/>
  <c r="BG58" i="14"/>
  <c r="BH58" i="14"/>
  <c r="BI58" i="14"/>
  <c r="BJ58" i="14"/>
  <c r="BK58" i="14"/>
  <c r="BL58" i="14"/>
  <c r="BM58" i="14"/>
  <c r="BN58" i="14"/>
  <c r="BO58"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AH9" i="14"/>
  <c r="AI9" i="14"/>
  <c r="AJ9" i="14"/>
  <c r="AK9" i="14"/>
  <c r="AL9" i="14"/>
  <c r="AM9" i="14"/>
  <c r="AN9" i="14"/>
  <c r="AO9" i="14"/>
  <c r="AQ9" i="14"/>
  <c r="AR9" i="14"/>
  <c r="AS9" i="14"/>
  <c r="AT9" i="14"/>
  <c r="AU9" i="14"/>
  <c r="AV9" i="14"/>
  <c r="AW9" i="14"/>
  <c r="AX9" i="14"/>
  <c r="AY9"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AH10" i="14"/>
  <c r="AI10" i="14"/>
  <c r="AJ10" i="14"/>
  <c r="AK10" i="14"/>
  <c r="AL10" i="14"/>
  <c r="AM10" i="14"/>
  <c r="AN10" i="14"/>
  <c r="AO10" i="14"/>
  <c r="AQ10" i="14"/>
  <c r="AR10" i="14"/>
  <c r="AS10" i="14"/>
  <c r="AT10" i="14"/>
  <c r="AU10" i="14"/>
  <c r="AV10" i="14"/>
  <c r="AW10" i="14"/>
  <c r="AX10" i="14"/>
  <c r="AY10"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AH11" i="14"/>
  <c r="AI11" i="14"/>
  <c r="AJ11" i="14"/>
  <c r="AK11" i="14"/>
  <c r="AL11" i="14"/>
  <c r="AM11" i="14"/>
  <c r="AN11" i="14"/>
  <c r="AO11" i="14"/>
  <c r="AQ11" i="14"/>
  <c r="AR11" i="14"/>
  <c r="AS11" i="14"/>
  <c r="AT11" i="14"/>
  <c r="AU11" i="14"/>
  <c r="AV11" i="14"/>
  <c r="AW11" i="14"/>
  <c r="AX11" i="14"/>
  <c r="AY11" i="14"/>
  <c r="F12" i="14"/>
  <c r="G12" i="14"/>
  <c r="H12" i="14"/>
  <c r="I12" i="14"/>
  <c r="J12" i="14"/>
  <c r="K12" i="14"/>
  <c r="L12" i="14"/>
  <c r="M12" i="14"/>
  <c r="N12" i="14"/>
  <c r="O12" i="14"/>
  <c r="P12" i="14"/>
  <c r="Q12" i="14"/>
  <c r="R12" i="14"/>
  <c r="S12" i="14"/>
  <c r="T12" i="14"/>
  <c r="U12" i="14"/>
  <c r="V12" i="14"/>
  <c r="W12" i="14"/>
  <c r="X12" i="14"/>
  <c r="Y12" i="14"/>
  <c r="Z12" i="14"/>
  <c r="AA12" i="14"/>
  <c r="AB12" i="14"/>
  <c r="AC12" i="14"/>
  <c r="AD12" i="14"/>
  <c r="AE12" i="14"/>
  <c r="AF12" i="14"/>
  <c r="AG12" i="14"/>
  <c r="AH12" i="14"/>
  <c r="AI12" i="14"/>
  <c r="AJ12" i="14"/>
  <c r="AK12" i="14"/>
  <c r="AL12" i="14"/>
  <c r="AM12" i="14"/>
  <c r="AN12" i="14"/>
  <c r="AO12" i="14"/>
  <c r="AQ12" i="14"/>
  <c r="AR12" i="14"/>
  <c r="AS12" i="14"/>
  <c r="AT12" i="14"/>
  <c r="AU12" i="14"/>
  <c r="AV12" i="14"/>
  <c r="AW12" i="14"/>
  <c r="AX12" i="14"/>
  <c r="AY12" i="14"/>
  <c r="F13" i="14"/>
  <c r="G13" i="14"/>
  <c r="H13" i="14"/>
  <c r="I13" i="14"/>
  <c r="J13" i="14"/>
  <c r="K13" i="14"/>
  <c r="L13" i="14"/>
  <c r="M13" i="14"/>
  <c r="N13" i="14"/>
  <c r="O13" i="14"/>
  <c r="P13" i="14"/>
  <c r="Q13" i="14"/>
  <c r="R13" i="14"/>
  <c r="S13" i="14"/>
  <c r="T13" i="14"/>
  <c r="U13" i="14"/>
  <c r="V13" i="14"/>
  <c r="W13" i="14"/>
  <c r="X13" i="14"/>
  <c r="Y13" i="14"/>
  <c r="Z13" i="14"/>
  <c r="AA13" i="14"/>
  <c r="AB13" i="14"/>
  <c r="AC13" i="14"/>
  <c r="AD13" i="14"/>
  <c r="AE13" i="14"/>
  <c r="AF13" i="14"/>
  <c r="AG13" i="14"/>
  <c r="AH13" i="14"/>
  <c r="AI13" i="14"/>
  <c r="AJ13" i="14"/>
  <c r="AK13" i="14"/>
  <c r="AL13" i="14"/>
  <c r="AM13" i="14"/>
  <c r="AN13" i="14"/>
  <c r="AO13" i="14"/>
  <c r="AQ13" i="14"/>
  <c r="AR13" i="14"/>
  <c r="AS13" i="14"/>
  <c r="AT13" i="14"/>
  <c r="AU13" i="14"/>
  <c r="AV13" i="14"/>
  <c r="AW13" i="14"/>
  <c r="AX13" i="14"/>
  <c r="AY13" i="14"/>
  <c r="F14" i="14"/>
  <c r="G14" i="14"/>
  <c r="H14" i="14"/>
  <c r="I14" i="14"/>
  <c r="J14" i="14"/>
  <c r="K14" i="14"/>
  <c r="L14" i="14"/>
  <c r="M14" i="14"/>
  <c r="N14" i="14"/>
  <c r="O14" i="14"/>
  <c r="P14" i="14"/>
  <c r="Q14" i="14"/>
  <c r="R14" i="14"/>
  <c r="S14" i="14"/>
  <c r="T14" i="14"/>
  <c r="U14" i="14"/>
  <c r="V14" i="14"/>
  <c r="W14" i="14"/>
  <c r="X14" i="14"/>
  <c r="Y14" i="14"/>
  <c r="Z14" i="14"/>
  <c r="AA14" i="14"/>
  <c r="AB14" i="14"/>
  <c r="AC14" i="14"/>
  <c r="AD14" i="14"/>
  <c r="AE14" i="14"/>
  <c r="AF14" i="14"/>
  <c r="AG14" i="14"/>
  <c r="AH14" i="14"/>
  <c r="AI14" i="14"/>
  <c r="AJ14" i="14"/>
  <c r="AK14" i="14"/>
  <c r="AL14" i="14"/>
  <c r="AM14" i="14"/>
  <c r="AN14" i="14"/>
  <c r="AO14" i="14"/>
  <c r="AQ14" i="14"/>
  <c r="AR14" i="14"/>
  <c r="AS14" i="14"/>
  <c r="AT14" i="14"/>
  <c r="AU14" i="14"/>
  <c r="AV14" i="14"/>
  <c r="AW14" i="14"/>
  <c r="AX14" i="14"/>
  <c r="AY14" i="14"/>
  <c r="F15" i="14"/>
  <c r="G15" i="14"/>
  <c r="H15" i="14"/>
  <c r="I15" i="14"/>
  <c r="J15" i="14"/>
  <c r="K15" i="14"/>
  <c r="L15" i="14"/>
  <c r="M15" i="14"/>
  <c r="N15" i="14"/>
  <c r="O15" i="14"/>
  <c r="P15" i="14"/>
  <c r="Q15" i="14"/>
  <c r="R15" i="14"/>
  <c r="S15" i="14"/>
  <c r="T15" i="14"/>
  <c r="U15" i="14"/>
  <c r="V15" i="14"/>
  <c r="W15" i="14"/>
  <c r="X15" i="14"/>
  <c r="Y15" i="14"/>
  <c r="Z15" i="14"/>
  <c r="AA15" i="14"/>
  <c r="AB15" i="14"/>
  <c r="AC15" i="14"/>
  <c r="AD15" i="14"/>
  <c r="AE15" i="14"/>
  <c r="AF15" i="14"/>
  <c r="AG15" i="14"/>
  <c r="AH15" i="14"/>
  <c r="AI15" i="14"/>
  <c r="AJ15" i="14"/>
  <c r="AK15" i="14"/>
  <c r="AL15" i="14"/>
  <c r="AM15" i="14"/>
  <c r="AN15" i="14"/>
  <c r="AO15" i="14"/>
  <c r="AQ15" i="14"/>
  <c r="AR15" i="14"/>
  <c r="AS15" i="14"/>
  <c r="AT15" i="14"/>
  <c r="AU15" i="14"/>
  <c r="AV15" i="14"/>
  <c r="AW15" i="14"/>
  <c r="AX15" i="14"/>
  <c r="AY15" i="14"/>
  <c r="F16" i="14"/>
  <c r="G16" i="14"/>
  <c r="H16" i="14"/>
  <c r="I16" i="14"/>
  <c r="J16" i="14"/>
  <c r="K16" i="14"/>
  <c r="L16" i="14"/>
  <c r="M16" i="14"/>
  <c r="N16" i="14"/>
  <c r="O16" i="14"/>
  <c r="P16" i="14"/>
  <c r="Q16" i="14"/>
  <c r="R16" i="14"/>
  <c r="S16" i="14"/>
  <c r="T16" i="14"/>
  <c r="U16" i="14"/>
  <c r="V16" i="14"/>
  <c r="W16" i="14"/>
  <c r="X16" i="14"/>
  <c r="Y16" i="14"/>
  <c r="Z16" i="14"/>
  <c r="AA16" i="14"/>
  <c r="AB16" i="14"/>
  <c r="AC16" i="14"/>
  <c r="AD16" i="14"/>
  <c r="AE16" i="14"/>
  <c r="AF16" i="14"/>
  <c r="AG16" i="14"/>
  <c r="AH16" i="14"/>
  <c r="AI16" i="14"/>
  <c r="AJ16" i="14"/>
  <c r="AK16" i="14"/>
  <c r="AL16" i="14"/>
  <c r="AM16" i="14"/>
  <c r="AN16" i="14"/>
  <c r="AO16" i="14"/>
  <c r="AQ16" i="14"/>
  <c r="AR16" i="14"/>
  <c r="AS16" i="14"/>
  <c r="AT16" i="14"/>
  <c r="AU16" i="14"/>
  <c r="AV16" i="14"/>
  <c r="AW16" i="14"/>
  <c r="AX16" i="14"/>
  <c r="AY16" i="14"/>
  <c r="F17" i="14"/>
  <c r="G17" i="14"/>
  <c r="H17" i="14"/>
  <c r="I17" i="14"/>
  <c r="J17" i="14"/>
  <c r="K17" i="14"/>
  <c r="L17" i="14"/>
  <c r="M17" i="14"/>
  <c r="N17" i="14"/>
  <c r="O17" i="14"/>
  <c r="P17" i="14"/>
  <c r="Q17" i="14"/>
  <c r="R17" i="14"/>
  <c r="S17" i="14"/>
  <c r="T17" i="14"/>
  <c r="U17" i="14"/>
  <c r="V17" i="14"/>
  <c r="W17" i="14"/>
  <c r="X17" i="14"/>
  <c r="Y17" i="14"/>
  <c r="Z17" i="14"/>
  <c r="AA17" i="14"/>
  <c r="AB17" i="14"/>
  <c r="AC17" i="14"/>
  <c r="AD17" i="14"/>
  <c r="AE17" i="14"/>
  <c r="AF17" i="14"/>
  <c r="AG17" i="14"/>
  <c r="AH17" i="14"/>
  <c r="AI17" i="14"/>
  <c r="AJ17" i="14"/>
  <c r="AK17" i="14"/>
  <c r="AL17" i="14"/>
  <c r="AM17" i="14"/>
  <c r="AN17" i="14"/>
  <c r="AO17" i="14"/>
  <c r="AQ17" i="14"/>
  <c r="AR17" i="14"/>
  <c r="AS17" i="14"/>
  <c r="AT17" i="14"/>
  <c r="AU17" i="14"/>
  <c r="AV17" i="14"/>
  <c r="AW17" i="14"/>
  <c r="AX17" i="14"/>
  <c r="AY17" i="14"/>
  <c r="F18" i="14"/>
  <c r="G18" i="14"/>
  <c r="H18" i="14"/>
  <c r="I18" i="14"/>
  <c r="J18" i="14"/>
  <c r="K18" i="14"/>
  <c r="L18" i="14"/>
  <c r="M18" i="14"/>
  <c r="N18" i="14"/>
  <c r="O18" i="14"/>
  <c r="P18" i="14"/>
  <c r="Q18" i="14"/>
  <c r="R18" i="14"/>
  <c r="S18" i="14"/>
  <c r="T18" i="14"/>
  <c r="U18" i="14"/>
  <c r="V18" i="14"/>
  <c r="W18" i="14"/>
  <c r="X18" i="14"/>
  <c r="Y18" i="14"/>
  <c r="Z18" i="14"/>
  <c r="AA18" i="14"/>
  <c r="AB18" i="14"/>
  <c r="AC18" i="14"/>
  <c r="AD18" i="14"/>
  <c r="AE18" i="14"/>
  <c r="AF18" i="14"/>
  <c r="AG18" i="14"/>
  <c r="AH18" i="14"/>
  <c r="AI18" i="14"/>
  <c r="AJ18" i="14"/>
  <c r="AK18" i="14"/>
  <c r="AL18" i="14"/>
  <c r="AM18" i="14"/>
  <c r="AN18" i="14"/>
  <c r="AO18" i="14"/>
  <c r="AQ18" i="14"/>
  <c r="AR18" i="14"/>
  <c r="AS18" i="14"/>
  <c r="AT18" i="14"/>
  <c r="AU18" i="14"/>
  <c r="AV18" i="14"/>
  <c r="AW18" i="14"/>
  <c r="AX18" i="14"/>
  <c r="AY18" i="14"/>
  <c r="F19" i="14"/>
  <c r="G19" i="14"/>
  <c r="H19" i="14"/>
  <c r="I19" i="14"/>
  <c r="J19" i="14"/>
  <c r="K19" i="14"/>
  <c r="L19" i="14"/>
  <c r="M19" i="14"/>
  <c r="N19" i="14"/>
  <c r="O19" i="14"/>
  <c r="P19" i="14"/>
  <c r="Q19" i="14"/>
  <c r="R19" i="14"/>
  <c r="S19" i="14"/>
  <c r="T19" i="14"/>
  <c r="U19" i="14"/>
  <c r="V19" i="14"/>
  <c r="W19" i="14"/>
  <c r="X19" i="14"/>
  <c r="Y19" i="14"/>
  <c r="Z19" i="14"/>
  <c r="AA19" i="14"/>
  <c r="AB19" i="14"/>
  <c r="AC19" i="14"/>
  <c r="AD19" i="14"/>
  <c r="AE19" i="14"/>
  <c r="AF19" i="14"/>
  <c r="AG19" i="14"/>
  <c r="AH19" i="14"/>
  <c r="AI19" i="14"/>
  <c r="AJ19" i="14"/>
  <c r="AK19" i="14"/>
  <c r="AL19" i="14"/>
  <c r="AM19" i="14"/>
  <c r="AN19" i="14"/>
  <c r="AO19" i="14"/>
  <c r="AQ19" i="14"/>
  <c r="AR19" i="14"/>
  <c r="AS19" i="14"/>
  <c r="AT19" i="14"/>
  <c r="AU19" i="14"/>
  <c r="AV19" i="14"/>
  <c r="AW19" i="14"/>
  <c r="AX19" i="14"/>
  <c r="AY19" i="14"/>
  <c r="F22" i="14"/>
  <c r="G22" i="14"/>
  <c r="H22" i="14"/>
  <c r="I22" i="14"/>
  <c r="J22" i="14"/>
  <c r="K22" i="14"/>
  <c r="L22" i="14"/>
  <c r="M22" i="14"/>
  <c r="N22" i="14"/>
  <c r="O22" i="14"/>
  <c r="P22" i="14"/>
  <c r="Q22" i="14"/>
  <c r="R22" i="14"/>
  <c r="S22" i="14"/>
  <c r="T22" i="14"/>
  <c r="U22" i="14"/>
  <c r="V22" i="14"/>
  <c r="W22" i="14"/>
  <c r="X22" i="14"/>
  <c r="Y22" i="14"/>
  <c r="Z22" i="14"/>
  <c r="AA22" i="14"/>
  <c r="AB22" i="14"/>
  <c r="AC22" i="14"/>
  <c r="AD22" i="14"/>
  <c r="AE22" i="14"/>
  <c r="AF22" i="14"/>
  <c r="AG22" i="14"/>
  <c r="AH22" i="14"/>
  <c r="AI22" i="14"/>
  <c r="AJ22" i="14"/>
  <c r="AK22" i="14"/>
  <c r="AL22" i="14"/>
  <c r="AM22" i="14"/>
  <c r="AN22" i="14"/>
  <c r="AO22" i="14"/>
  <c r="AQ22" i="14"/>
  <c r="AR22" i="14"/>
  <c r="AS22" i="14"/>
  <c r="AT22" i="14"/>
  <c r="AU22" i="14"/>
  <c r="AV22" i="14"/>
  <c r="AW22" i="14"/>
  <c r="AX22" i="14"/>
  <c r="AY22" i="14"/>
  <c r="F23" i="14"/>
  <c r="G23" i="14"/>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AG23" i="14"/>
  <c r="AH23" i="14"/>
  <c r="AI23" i="14"/>
  <c r="AJ23" i="14"/>
  <c r="AK23" i="14"/>
  <c r="AL23" i="14"/>
  <c r="AM23" i="14"/>
  <c r="AN23" i="14"/>
  <c r="AO23" i="14"/>
  <c r="AQ23" i="14"/>
  <c r="AR23" i="14"/>
  <c r="AS23" i="14"/>
  <c r="AT23" i="14"/>
  <c r="AU23" i="14"/>
  <c r="AV23" i="14"/>
  <c r="AW23" i="14"/>
  <c r="AX23" i="14"/>
  <c r="AY23" i="14"/>
  <c r="F24" i="14"/>
  <c r="G24" i="14"/>
  <c r="H24" i="14"/>
  <c r="I24" i="14"/>
  <c r="J24" i="14"/>
  <c r="K24" i="14"/>
  <c r="L24" i="14"/>
  <c r="M24" i="14"/>
  <c r="N24" i="14"/>
  <c r="O24" i="14"/>
  <c r="P24" i="14"/>
  <c r="Q24" i="14"/>
  <c r="R24" i="14"/>
  <c r="S24" i="14"/>
  <c r="T24" i="14"/>
  <c r="U24" i="14"/>
  <c r="V24" i="14"/>
  <c r="W24" i="14"/>
  <c r="X24" i="14"/>
  <c r="Y24" i="14"/>
  <c r="Z24" i="14"/>
  <c r="AA24" i="14"/>
  <c r="AB24" i="14"/>
  <c r="AC24" i="14"/>
  <c r="AD24" i="14"/>
  <c r="AE24" i="14"/>
  <c r="AF24" i="14"/>
  <c r="AG24" i="14"/>
  <c r="AH24" i="14"/>
  <c r="AI24" i="14"/>
  <c r="AJ24" i="14"/>
  <c r="AK24" i="14"/>
  <c r="AL24" i="14"/>
  <c r="AM24" i="14"/>
  <c r="AN24" i="14"/>
  <c r="AO24" i="14"/>
  <c r="AQ24" i="14"/>
  <c r="AR24" i="14"/>
  <c r="AS24" i="14"/>
  <c r="AT24" i="14"/>
  <c r="AU24" i="14"/>
  <c r="AV24" i="14"/>
  <c r="AW24" i="14"/>
  <c r="AX24" i="14"/>
  <c r="AY24" i="14"/>
  <c r="F25" i="14"/>
  <c r="G25" i="14"/>
  <c r="H25" i="14"/>
  <c r="I25" i="14"/>
  <c r="J25" i="14"/>
  <c r="K25" i="14"/>
  <c r="L25" i="14"/>
  <c r="M25" i="14"/>
  <c r="N25" i="14"/>
  <c r="O25" i="14"/>
  <c r="P25" i="14"/>
  <c r="Q25" i="14"/>
  <c r="R25" i="14"/>
  <c r="S25" i="14"/>
  <c r="T25" i="14"/>
  <c r="U25" i="14"/>
  <c r="V25" i="14"/>
  <c r="W25" i="14"/>
  <c r="X25" i="14"/>
  <c r="Y25" i="14"/>
  <c r="Z25" i="14"/>
  <c r="AA25" i="14"/>
  <c r="AB25" i="14"/>
  <c r="AC25" i="14"/>
  <c r="AD25" i="14"/>
  <c r="AE25" i="14"/>
  <c r="AF25" i="14"/>
  <c r="AG25" i="14"/>
  <c r="AH25" i="14"/>
  <c r="AI25" i="14"/>
  <c r="AJ25" i="14"/>
  <c r="AK25" i="14"/>
  <c r="AL25" i="14"/>
  <c r="AM25" i="14"/>
  <c r="AN25" i="14"/>
  <c r="AO25" i="14"/>
  <c r="AQ25" i="14"/>
  <c r="AR25" i="14"/>
  <c r="AS25" i="14"/>
  <c r="AT25" i="14"/>
  <c r="AU25" i="14"/>
  <c r="AV25" i="14"/>
  <c r="AW25" i="14"/>
  <c r="AX25" i="14"/>
  <c r="AY25" i="14"/>
  <c r="F26" i="14"/>
  <c r="G26" i="14"/>
  <c r="H26" i="14"/>
  <c r="I26" i="14"/>
  <c r="J26" i="14"/>
  <c r="K26" i="14"/>
  <c r="L26" i="14"/>
  <c r="M26" i="14"/>
  <c r="N26" i="14"/>
  <c r="O26" i="14"/>
  <c r="P26" i="14"/>
  <c r="Q26" i="14"/>
  <c r="R26" i="14"/>
  <c r="S26" i="14"/>
  <c r="T26" i="14"/>
  <c r="U26" i="14"/>
  <c r="V26" i="14"/>
  <c r="W26" i="14"/>
  <c r="X26" i="14"/>
  <c r="Y26" i="14"/>
  <c r="Z26" i="14"/>
  <c r="AA26" i="14"/>
  <c r="AB26" i="14"/>
  <c r="AC26" i="14"/>
  <c r="AD26" i="14"/>
  <c r="AE26" i="14"/>
  <c r="AF26" i="14"/>
  <c r="AG26" i="14"/>
  <c r="AH26" i="14"/>
  <c r="AI26" i="14"/>
  <c r="AJ26" i="14"/>
  <c r="AK26" i="14"/>
  <c r="AL26" i="14"/>
  <c r="AM26" i="14"/>
  <c r="AN26" i="14"/>
  <c r="AO26" i="14"/>
  <c r="AQ26" i="14"/>
  <c r="AR26" i="14"/>
  <c r="AS26" i="14"/>
  <c r="AT26" i="14"/>
  <c r="AU26" i="14"/>
  <c r="AV26" i="14"/>
  <c r="AW26" i="14"/>
  <c r="AX26" i="14"/>
  <c r="AY26" i="14"/>
  <c r="F27" i="14"/>
  <c r="G27" i="14"/>
  <c r="H27" i="14"/>
  <c r="I27" i="14"/>
  <c r="J27" i="14"/>
  <c r="K27" i="14"/>
  <c r="L27" i="14"/>
  <c r="M27" i="14"/>
  <c r="N27" i="14"/>
  <c r="O27" i="14"/>
  <c r="P27" i="14"/>
  <c r="Q27" i="14"/>
  <c r="R27" i="14"/>
  <c r="S27" i="14"/>
  <c r="T27" i="14"/>
  <c r="U27" i="14"/>
  <c r="V27" i="14"/>
  <c r="W27" i="14"/>
  <c r="X27" i="14"/>
  <c r="Y27" i="14"/>
  <c r="Z27" i="14"/>
  <c r="AA27" i="14"/>
  <c r="AB27" i="14"/>
  <c r="AC27" i="14"/>
  <c r="AD27" i="14"/>
  <c r="AE27" i="14"/>
  <c r="AF27" i="14"/>
  <c r="AG27" i="14"/>
  <c r="AH27" i="14"/>
  <c r="AI27" i="14"/>
  <c r="AJ27" i="14"/>
  <c r="AK27" i="14"/>
  <c r="AL27" i="14"/>
  <c r="AM27" i="14"/>
  <c r="AN27" i="14"/>
  <c r="AO27" i="14"/>
  <c r="AQ27" i="14"/>
  <c r="AR27" i="14"/>
  <c r="AS27" i="14"/>
  <c r="AT27" i="14"/>
  <c r="AU27" i="14"/>
  <c r="AV27" i="14"/>
  <c r="AW27" i="14"/>
  <c r="AX27" i="14"/>
  <c r="AY27" i="14"/>
  <c r="F28" i="14"/>
  <c r="G28" i="14"/>
  <c r="H28" i="14"/>
  <c r="I28" i="14"/>
  <c r="J28" i="14"/>
  <c r="K28" i="14"/>
  <c r="L28" i="14"/>
  <c r="M28" i="14"/>
  <c r="N28" i="14"/>
  <c r="O28" i="14"/>
  <c r="P28" i="14"/>
  <c r="Q28" i="14"/>
  <c r="R28" i="14"/>
  <c r="S28" i="14"/>
  <c r="T28" i="14"/>
  <c r="U28" i="14"/>
  <c r="V28" i="14"/>
  <c r="W28" i="14"/>
  <c r="X28" i="14"/>
  <c r="Y28" i="14"/>
  <c r="Z28" i="14"/>
  <c r="AA28" i="14"/>
  <c r="AB28" i="14"/>
  <c r="AC28" i="14"/>
  <c r="AD28" i="14"/>
  <c r="AE28" i="14"/>
  <c r="AF28" i="14"/>
  <c r="AG28" i="14"/>
  <c r="AH28" i="14"/>
  <c r="AI28" i="14"/>
  <c r="AJ28" i="14"/>
  <c r="AK28" i="14"/>
  <c r="AL28" i="14"/>
  <c r="AM28" i="14"/>
  <c r="AN28" i="14"/>
  <c r="AO28" i="14"/>
  <c r="AQ28" i="14"/>
  <c r="AR28" i="14"/>
  <c r="AS28" i="14"/>
  <c r="AT28" i="14"/>
  <c r="AU28" i="14"/>
  <c r="AV28" i="14"/>
  <c r="AW28" i="14"/>
  <c r="AX28" i="14"/>
  <c r="AY28" i="14"/>
  <c r="F31" i="14"/>
  <c r="G31" i="14"/>
  <c r="H31" i="14"/>
  <c r="I31" i="14"/>
  <c r="J31" i="14"/>
  <c r="K31" i="14"/>
  <c r="L31" i="14"/>
  <c r="M31" i="14"/>
  <c r="N31" i="14"/>
  <c r="O31" i="14"/>
  <c r="P31" i="14"/>
  <c r="Q31" i="14"/>
  <c r="R31" i="14"/>
  <c r="S31" i="14"/>
  <c r="T31" i="14"/>
  <c r="U31" i="14"/>
  <c r="V31" i="14"/>
  <c r="W31" i="14"/>
  <c r="X31" i="14"/>
  <c r="Y31" i="14"/>
  <c r="Z31" i="14"/>
  <c r="AA31" i="14"/>
  <c r="AB31" i="14"/>
  <c r="AC31" i="14"/>
  <c r="AD31" i="14"/>
  <c r="AE31" i="14"/>
  <c r="AF31" i="14"/>
  <c r="AG31" i="14"/>
  <c r="AH31" i="14"/>
  <c r="AI31" i="14"/>
  <c r="AJ31" i="14"/>
  <c r="AK31" i="14"/>
  <c r="AL31" i="14"/>
  <c r="AM31" i="14"/>
  <c r="AN31" i="14"/>
  <c r="AO31" i="14"/>
  <c r="AQ31" i="14"/>
  <c r="AR31" i="14"/>
  <c r="AS31" i="14"/>
  <c r="AT31" i="14"/>
  <c r="AU31" i="14"/>
  <c r="AV31" i="14"/>
  <c r="AW31" i="14"/>
  <c r="AX31" i="14"/>
  <c r="AY31" i="14"/>
  <c r="F34" i="14"/>
  <c r="G34" i="14"/>
  <c r="H34" i="14"/>
  <c r="I34" i="14"/>
  <c r="J34" i="14"/>
  <c r="K34" i="14"/>
  <c r="L34" i="14"/>
  <c r="M34" i="14"/>
  <c r="N34" i="14"/>
  <c r="O34" i="14"/>
  <c r="P34" i="14"/>
  <c r="Q34" i="14"/>
  <c r="R34" i="14"/>
  <c r="S34" i="14"/>
  <c r="T34" i="14"/>
  <c r="U34" i="14"/>
  <c r="V34" i="14"/>
  <c r="W34" i="14"/>
  <c r="X34" i="14"/>
  <c r="Y34" i="14"/>
  <c r="Z34" i="14"/>
  <c r="AA34" i="14"/>
  <c r="AB34" i="14"/>
  <c r="AC34" i="14"/>
  <c r="AD34" i="14"/>
  <c r="AE34" i="14"/>
  <c r="AF34" i="14"/>
  <c r="AG34" i="14"/>
  <c r="AH34" i="14"/>
  <c r="AI34" i="14"/>
  <c r="AJ34" i="14"/>
  <c r="AK34" i="14"/>
  <c r="AL34" i="14"/>
  <c r="AM34" i="14"/>
  <c r="AN34" i="14"/>
  <c r="AO34" i="14"/>
  <c r="AQ34" i="14"/>
  <c r="AR34" i="14"/>
  <c r="AS34" i="14"/>
  <c r="AT34" i="14"/>
  <c r="AU34" i="14"/>
  <c r="AV34" i="14"/>
  <c r="AW34" i="14"/>
  <c r="AX34" i="14"/>
  <c r="AY34" i="14"/>
  <c r="F35" i="14"/>
  <c r="G35" i="14"/>
  <c r="H35" i="14"/>
  <c r="I35" i="14"/>
  <c r="J35" i="14"/>
  <c r="K35" i="14"/>
  <c r="L35" i="14"/>
  <c r="M35" i="14"/>
  <c r="N35" i="14"/>
  <c r="O35" i="14"/>
  <c r="P35" i="14"/>
  <c r="Q35" i="14"/>
  <c r="R35" i="14"/>
  <c r="S35" i="14"/>
  <c r="T35" i="14"/>
  <c r="U35" i="14"/>
  <c r="V35" i="14"/>
  <c r="W35" i="14"/>
  <c r="X35" i="14"/>
  <c r="Y35" i="14"/>
  <c r="Z35" i="14"/>
  <c r="AA35" i="14"/>
  <c r="AB35" i="14"/>
  <c r="AC35" i="14"/>
  <c r="AD35" i="14"/>
  <c r="AE35" i="14"/>
  <c r="AF35" i="14"/>
  <c r="AG35" i="14"/>
  <c r="AH35" i="14"/>
  <c r="AI35" i="14"/>
  <c r="AJ35" i="14"/>
  <c r="AK35" i="14"/>
  <c r="AL35" i="14"/>
  <c r="AM35" i="14"/>
  <c r="AN35" i="14"/>
  <c r="AO35" i="14"/>
  <c r="AQ35" i="14"/>
  <c r="AR35" i="14"/>
  <c r="AS35" i="14"/>
  <c r="AT35" i="14"/>
  <c r="AU35" i="14"/>
  <c r="AV35" i="14"/>
  <c r="AW35" i="14"/>
  <c r="AX35" i="14"/>
  <c r="AY35" i="14"/>
  <c r="F36" i="14"/>
  <c r="G36" i="14"/>
  <c r="H36" i="14"/>
  <c r="I36" i="14"/>
  <c r="J36" i="14"/>
  <c r="K36" i="14"/>
  <c r="L36" i="14"/>
  <c r="M36" i="14"/>
  <c r="N36" i="14"/>
  <c r="O36" i="14"/>
  <c r="P36" i="14"/>
  <c r="Q36" i="14"/>
  <c r="R36" i="14"/>
  <c r="S36" i="14"/>
  <c r="T36" i="14"/>
  <c r="U36" i="14"/>
  <c r="V36" i="14"/>
  <c r="W36" i="14"/>
  <c r="X36" i="14"/>
  <c r="Y36" i="14"/>
  <c r="Z36" i="14"/>
  <c r="AA36" i="14"/>
  <c r="AB36" i="14"/>
  <c r="AC36" i="14"/>
  <c r="AD36" i="14"/>
  <c r="AE36" i="14"/>
  <c r="AF36" i="14"/>
  <c r="AG36" i="14"/>
  <c r="AH36" i="14"/>
  <c r="AI36" i="14"/>
  <c r="AJ36" i="14"/>
  <c r="AK36" i="14"/>
  <c r="AL36" i="14"/>
  <c r="AM36" i="14"/>
  <c r="AN36" i="14"/>
  <c r="AO36" i="14"/>
  <c r="AQ36" i="14"/>
  <c r="AR36" i="14"/>
  <c r="AS36" i="14"/>
  <c r="AT36" i="14"/>
  <c r="AU36" i="14"/>
  <c r="AV36" i="14"/>
  <c r="AW36" i="14"/>
  <c r="AX36" i="14"/>
  <c r="AY36"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AH38" i="14"/>
  <c r="AI38" i="14"/>
  <c r="AJ38" i="14"/>
  <c r="AK38" i="14"/>
  <c r="AL38" i="14"/>
  <c r="AM38" i="14"/>
  <c r="AN38" i="14"/>
  <c r="AO38" i="14"/>
  <c r="AQ38" i="14"/>
  <c r="AR38" i="14"/>
  <c r="AS38" i="14"/>
  <c r="AT38" i="14"/>
  <c r="AU38" i="14"/>
  <c r="AV38" i="14"/>
  <c r="AW38" i="14"/>
  <c r="AX38" i="14"/>
  <c r="AY38" i="14"/>
  <c r="F39" i="14"/>
  <c r="G39" i="14"/>
  <c r="H39" i="14"/>
  <c r="I39" i="14"/>
  <c r="J39" i="14"/>
  <c r="K39" i="14"/>
  <c r="L39" i="14"/>
  <c r="M39" i="14"/>
  <c r="N39" i="14"/>
  <c r="O39" i="14"/>
  <c r="P39" i="14"/>
  <c r="Q39" i="14"/>
  <c r="R39" i="14"/>
  <c r="S39" i="14"/>
  <c r="T39" i="14"/>
  <c r="U39" i="14"/>
  <c r="V39" i="14"/>
  <c r="W39" i="14"/>
  <c r="X39" i="14"/>
  <c r="Y39" i="14"/>
  <c r="Z39" i="14"/>
  <c r="AA39" i="14"/>
  <c r="AB39" i="14"/>
  <c r="AC39" i="14"/>
  <c r="AD39" i="14"/>
  <c r="AE39" i="14"/>
  <c r="AF39" i="14"/>
  <c r="AG39" i="14"/>
  <c r="AH39" i="14"/>
  <c r="AI39" i="14"/>
  <c r="AJ39" i="14"/>
  <c r="AK39" i="14"/>
  <c r="AL39" i="14"/>
  <c r="AM39" i="14"/>
  <c r="AN39" i="14"/>
  <c r="AO39" i="14"/>
  <c r="AQ39" i="14"/>
  <c r="AR39" i="14"/>
  <c r="AS39" i="14"/>
  <c r="AT39" i="14"/>
  <c r="AU39" i="14"/>
  <c r="AV39" i="14"/>
  <c r="AW39" i="14"/>
  <c r="AX39" i="14"/>
  <c r="AY39" i="14"/>
  <c r="F40" i="14"/>
  <c r="G40" i="14"/>
  <c r="H40" i="14"/>
  <c r="I40" i="14"/>
  <c r="J40" i="14"/>
  <c r="K40" i="14"/>
  <c r="L40" i="14"/>
  <c r="M40" i="14"/>
  <c r="N40" i="14"/>
  <c r="O40" i="14"/>
  <c r="P40" i="14"/>
  <c r="Q40" i="14"/>
  <c r="R40" i="14"/>
  <c r="S40" i="14"/>
  <c r="T40" i="14"/>
  <c r="U40" i="14"/>
  <c r="V40" i="14"/>
  <c r="W40" i="14"/>
  <c r="X40" i="14"/>
  <c r="Y40" i="14"/>
  <c r="Z40" i="14"/>
  <c r="AA40" i="14"/>
  <c r="AB40" i="14"/>
  <c r="AC40" i="14"/>
  <c r="AD40" i="14"/>
  <c r="AE40" i="14"/>
  <c r="AF40" i="14"/>
  <c r="AG40" i="14"/>
  <c r="AH40" i="14"/>
  <c r="AI40" i="14"/>
  <c r="AJ40" i="14"/>
  <c r="AK40" i="14"/>
  <c r="AL40" i="14"/>
  <c r="AM40" i="14"/>
  <c r="AN40" i="14"/>
  <c r="AO40" i="14"/>
  <c r="AQ40" i="14"/>
  <c r="AR40" i="14"/>
  <c r="AS40" i="14"/>
  <c r="AT40" i="14"/>
  <c r="AU40" i="14"/>
  <c r="AV40" i="14"/>
  <c r="AW40" i="14"/>
  <c r="AX40" i="14"/>
  <c r="AY40" i="14"/>
  <c r="F41" i="14"/>
  <c r="G41" i="14"/>
  <c r="H41" i="14"/>
  <c r="I41" i="14"/>
  <c r="J41" i="14"/>
  <c r="K41" i="14"/>
  <c r="L41" i="14"/>
  <c r="M41" i="14"/>
  <c r="N41" i="14"/>
  <c r="O41" i="14"/>
  <c r="P41" i="14"/>
  <c r="Q41" i="14"/>
  <c r="R41" i="14"/>
  <c r="S41" i="14"/>
  <c r="T41" i="14"/>
  <c r="U41" i="14"/>
  <c r="V41" i="14"/>
  <c r="W41" i="14"/>
  <c r="X41" i="14"/>
  <c r="Y41" i="14"/>
  <c r="Z41" i="14"/>
  <c r="AA41" i="14"/>
  <c r="AB41" i="14"/>
  <c r="AC41" i="14"/>
  <c r="AD41" i="14"/>
  <c r="AE41" i="14"/>
  <c r="AF41" i="14"/>
  <c r="AG41" i="14"/>
  <c r="AH41" i="14"/>
  <c r="AI41" i="14"/>
  <c r="AJ41" i="14"/>
  <c r="AK41" i="14"/>
  <c r="AL41" i="14"/>
  <c r="AM41" i="14"/>
  <c r="AN41" i="14"/>
  <c r="AO41" i="14"/>
  <c r="AQ41" i="14"/>
  <c r="AR41" i="14"/>
  <c r="AS41" i="14"/>
  <c r="AT41" i="14"/>
  <c r="AU41" i="14"/>
  <c r="AV41" i="14"/>
  <c r="AW41" i="14"/>
  <c r="AX41" i="14"/>
  <c r="AY41" i="14"/>
  <c r="F42" i="14"/>
  <c r="G42" i="14"/>
  <c r="H42" i="14"/>
  <c r="I42" i="14"/>
  <c r="J42" i="14"/>
  <c r="K42" i="14"/>
  <c r="L42" i="14"/>
  <c r="M42" i="14"/>
  <c r="N42" i="14"/>
  <c r="O42" i="14"/>
  <c r="P42" i="14"/>
  <c r="Q42" i="14"/>
  <c r="R42" i="14"/>
  <c r="S42" i="14"/>
  <c r="T42" i="14"/>
  <c r="U42" i="14"/>
  <c r="V42" i="14"/>
  <c r="W42" i="14"/>
  <c r="X42" i="14"/>
  <c r="Y42" i="14"/>
  <c r="Z42" i="14"/>
  <c r="AA42" i="14"/>
  <c r="AB42" i="14"/>
  <c r="AC42" i="14"/>
  <c r="AD42" i="14"/>
  <c r="AE42" i="14"/>
  <c r="AF42" i="14"/>
  <c r="AG42" i="14"/>
  <c r="AH42" i="14"/>
  <c r="AI42" i="14"/>
  <c r="AJ42" i="14"/>
  <c r="AK42" i="14"/>
  <c r="AL42" i="14"/>
  <c r="AM42" i="14"/>
  <c r="AN42" i="14"/>
  <c r="AO42" i="14"/>
  <c r="AQ42" i="14"/>
  <c r="AR42" i="14"/>
  <c r="AS42" i="14"/>
  <c r="AT42" i="14"/>
  <c r="AU42" i="14"/>
  <c r="AV42" i="14"/>
  <c r="AW42" i="14"/>
  <c r="AX42" i="14"/>
  <c r="AY42" i="14"/>
  <c r="F43" i="14"/>
  <c r="G43" i="14"/>
  <c r="H43" i="14"/>
  <c r="I43" i="14"/>
  <c r="J43" i="14"/>
  <c r="K43" i="14"/>
  <c r="L43" i="14"/>
  <c r="M43" i="14"/>
  <c r="N43" i="14"/>
  <c r="O43" i="14"/>
  <c r="P43" i="14"/>
  <c r="Q43" i="14"/>
  <c r="R43" i="14"/>
  <c r="S43" i="14"/>
  <c r="T43" i="14"/>
  <c r="U43" i="14"/>
  <c r="V43" i="14"/>
  <c r="W43" i="14"/>
  <c r="X43" i="14"/>
  <c r="Y43" i="14"/>
  <c r="Z43" i="14"/>
  <c r="AA43" i="14"/>
  <c r="AB43" i="14"/>
  <c r="AC43" i="14"/>
  <c r="AD43" i="14"/>
  <c r="AE43" i="14"/>
  <c r="AF43" i="14"/>
  <c r="AG43" i="14"/>
  <c r="AH43" i="14"/>
  <c r="AI43" i="14"/>
  <c r="AJ43" i="14"/>
  <c r="AK43" i="14"/>
  <c r="AL43" i="14"/>
  <c r="AM43" i="14"/>
  <c r="AN43" i="14"/>
  <c r="AO43" i="14"/>
  <c r="AQ43" i="14"/>
  <c r="AR43" i="14"/>
  <c r="AS43" i="14"/>
  <c r="AT43" i="14"/>
  <c r="AU43" i="14"/>
  <c r="AV43" i="14"/>
  <c r="AW43" i="14"/>
  <c r="AX43" i="14"/>
  <c r="AY43" i="14"/>
  <c r="F44" i="14"/>
  <c r="G44" i="14"/>
  <c r="H44" i="14"/>
  <c r="I44" i="14"/>
  <c r="J44" i="14"/>
  <c r="K44" i="14"/>
  <c r="L44" i="14"/>
  <c r="M44" i="14"/>
  <c r="N44" i="14"/>
  <c r="O44" i="14"/>
  <c r="P44" i="14"/>
  <c r="Q44" i="14"/>
  <c r="R44" i="14"/>
  <c r="S44" i="14"/>
  <c r="T44" i="14"/>
  <c r="U44" i="14"/>
  <c r="V44" i="14"/>
  <c r="W44" i="14"/>
  <c r="X44" i="14"/>
  <c r="Y44" i="14"/>
  <c r="Z44" i="14"/>
  <c r="AA44" i="14"/>
  <c r="AB44" i="14"/>
  <c r="AC44" i="14"/>
  <c r="AD44" i="14"/>
  <c r="AE44" i="14"/>
  <c r="AF44" i="14"/>
  <c r="AG44" i="14"/>
  <c r="AH44" i="14"/>
  <c r="AI44" i="14"/>
  <c r="AJ44" i="14"/>
  <c r="AK44" i="14"/>
  <c r="AL44" i="14"/>
  <c r="AM44" i="14"/>
  <c r="AN44" i="14"/>
  <c r="AO44" i="14"/>
  <c r="AQ44" i="14"/>
  <c r="AR44" i="14"/>
  <c r="AS44" i="14"/>
  <c r="AT44" i="14"/>
  <c r="AU44" i="14"/>
  <c r="AV44" i="14"/>
  <c r="AW44" i="14"/>
  <c r="AX44" i="14"/>
  <c r="AY44"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AH45" i="14"/>
  <c r="AI45" i="14"/>
  <c r="AJ45" i="14"/>
  <c r="AK45" i="14"/>
  <c r="AL45" i="14"/>
  <c r="AM45" i="14"/>
  <c r="AN45" i="14"/>
  <c r="AO45" i="14"/>
  <c r="AQ45" i="14"/>
  <c r="AR45" i="14"/>
  <c r="AS45" i="14"/>
  <c r="AT45" i="14"/>
  <c r="AU45" i="14"/>
  <c r="AV45" i="14"/>
  <c r="AW45" i="14"/>
  <c r="AX45" i="14"/>
  <c r="AY45" i="14"/>
  <c r="F46" i="14"/>
  <c r="G46" i="14"/>
  <c r="H46" i="14"/>
  <c r="I46" i="14"/>
  <c r="J46" i="14"/>
  <c r="K46" i="14"/>
  <c r="L46" i="14"/>
  <c r="M46" i="14"/>
  <c r="N46" i="14"/>
  <c r="O46" i="14"/>
  <c r="P46" i="14"/>
  <c r="Q46" i="14"/>
  <c r="R46" i="14"/>
  <c r="S46" i="14"/>
  <c r="T46" i="14"/>
  <c r="U46" i="14"/>
  <c r="V46" i="14"/>
  <c r="W46" i="14"/>
  <c r="X46" i="14"/>
  <c r="Y46" i="14"/>
  <c r="Z46" i="14"/>
  <c r="AA46" i="14"/>
  <c r="AB46" i="14"/>
  <c r="AC46" i="14"/>
  <c r="AD46" i="14"/>
  <c r="AE46" i="14"/>
  <c r="AF46" i="14"/>
  <c r="AG46" i="14"/>
  <c r="AH46" i="14"/>
  <c r="AI46" i="14"/>
  <c r="AJ46" i="14"/>
  <c r="AK46" i="14"/>
  <c r="AL46" i="14"/>
  <c r="AM46" i="14"/>
  <c r="AN46" i="14"/>
  <c r="AO46" i="14"/>
  <c r="AQ46" i="14"/>
  <c r="AR46" i="14"/>
  <c r="AS46" i="14"/>
  <c r="AT46" i="14"/>
  <c r="AU46" i="14"/>
  <c r="AV46" i="14"/>
  <c r="AW46" i="14"/>
  <c r="AX46" i="14"/>
  <c r="AY46" i="14"/>
  <c r="F47" i="14"/>
  <c r="G47" i="14"/>
  <c r="H47" i="14"/>
  <c r="I47" i="14"/>
  <c r="J47" i="14"/>
  <c r="K47" i="14"/>
  <c r="L47" i="14"/>
  <c r="M47" i="14"/>
  <c r="N47" i="14"/>
  <c r="O47" i="14"/>
  <c r="P47" i="14"/>
  <c r="Q47" i="14"/>
  <c r="R47" i="14"/>
  <c r="S47" i="14"/>
  <c r="T47" i="14"/>
  <c r="U47" i="14"/>
  <c r="V47" i="14"/>
  <c r="W47" i="14"/>
  <c r="X47" i="14"/>
  <c r="Y47" i="14"/>
  <c r="Z47" i="14"/>
  <c r="AA47" i="14"/>
  <c r="AB47" i="14"/>
  <c r="AC47" i="14"/>
  <c r="AD47" i="14"/>
  <c r="AE47" i="14"/>
  <c r="AF47" i="14"/>
  <c r="AG47" i="14"/>
  <c r="AH47" i="14"/>
  <c r="AI47" i="14"/>
  <c r="AJ47" i="14"/>
  <c r="AK47" i="14"/>
  <c r="AL47" i="14"/>
  <c r="AM47" i="14"/>
  <c r="AN47" i="14"/>
  <c r="AO47" i="14"/>
  <c r="AQ47" i="14"/>
  <c r="AR47" i="14"/>
  <c r="AS47" i="14"/>
  <c r="AT47" i="14"/>
  <c r="AU47" i="14"/>
  <c r="AV47" i="14"/>
  <c r="AW47" i="14"/>
  <c r="AX47" i="14"/>
  <c r="AY47" i="14"/>
  <c r="F48" i="14"/>
  <c r="G48" i="14"/>
  <c r="H48" i="14"/>
  <c r="I48" i="14"/>
  <c r="J48" i="14"/>
  <c r="K48" i="14"/>
  <c r="L48" i="14"/>
  <c r="M48" i="14"/>
  <c r="N48" i="14"/>
  <c r="O48" i="14"/>
  <c r="P48" i="14"/>
  <c r="Q48" i="14"/>
  <c r="R48" i="14"/>
  <c r="S48" i="14"/>
  <c r="T48" i="14"/>
  <c r="U48" i="14"/>
  <c r="V48" i="14"/>
  <c r="W48" i="14"/>
  <c r="X48" i="14"/>
  <c r="Y48" i="14"/>
  <c r="Z48" i="14"/>
  <c r="AA48" i="14"/>
  <c r="AB48" i="14"/>
  <c r="AC48" i="14"/>
  <c r="AD48" i="14"/>
  <c r="AE48" i="14"/>
  <c r="AF48" i="14"/>
  <c r="AG48" i="14"/>
  <c r="AH48" i="14"/>
  <c r="AI48" i="14"/>
  <c r="AJ48" i="14"/>
  <c r="AK48" i="14"/>
  <c r="AL48" i="14"/>
  <c r="AM48" i="14"/>
  <c r="AN48" i="14"/>
  <c r="AO48" i="14"/>
  <c r="AQ48" i="14"/>
  <c r="AR48" i="14"/>
  <c r="AS48" i="14"/>
  <c r="AT48" i="14"/>
  <c r="AU48" i="14"/>
  <c r="AV48" i="14"/>
  <c r="AW48" i="14"/>
  <c r="AX48" i="14"/>
  <c r="AY48" i="14"/>
  <c r="F49" i="14"/>
  <c r="G49" i="14"/>
  <c r="H49" i="14"/>
  <c r="I49" i="14"/>
  <c r="J49" i="14"/>
  <c r="K49" i="14"/>
  <c r="L49" i="14"/>
  <c r="M49" i="14"/>
  <c r="N49" i="14"/>
  <c r="O49" i="14"/>
  <c r="P49" i="14"/>
  <c r="Q49" i="14"/>
  <c r="R49" i="14"/>
  <c r="S49" i="14"/>
  <c r="T49" i="14"/>
  <c r="U49" i="14"/>
  <c r="V49" i="14"/>
  <c r="W49" i="14"/>
  <c r="X49" i="14"/>
  <c r="Y49" i="14"/>
  <c r="Z49" i="14"/>
  <c r="AA49" i="14"/>
  <c r="AB49" i="14"/>
  <c r="AC49" i="14"/>
  <c r="AD49" i="14"/>
  <c r="AE49" i="14"/>
  <c r="AF49" i="14"/>
  <c r="AG49" i="14"/>
  <c r="AH49" i="14"/>
  <c r="AI49" i="14"/>
  <c r="AJ49" i="14"/>
  <c r="AK49" i="14"/>
  <c r="AL49" i="14"/>
  <c r="AM49" i="14"/>
  <c r="AN49" i="14"/>
  <c r="AO49" i="14"/>
  <c r="AQ49" i="14"/>
  <c r="AR49" i="14"/>
  <c r="AS49" i="14"/>
  <c r="AT49" i="14"/>
  <c r="AU49" i="14"/>
  <c r="AV49" i="14"/>
  <c r="AW49" i="14"/>
  <c r="AX49" i="14"/>
  <c r="AY49" i="14"/>
  <c r="F50" i="14"/>
  <c r="G50" i="14"/>
  <c r="H50" i="14"/>
  <c r="I50" i="14"/>
  <c r="J50" i="14"/>
  <c r="K50" i="14"/>
  <c r="L50" i="14"/>
  <c r="M50" i="14"/>
  <c r="N50" i="14"/>
  <c r="O50" i="14"/>
  <c r="P50" i="14"/>
  <c r="Q50" i="14"/>
  <c r="R50" i="14"/>
  <c r="S50" i="14"/>
  <c r="T50" i="14"/>
  <c r="U50" i="14"/>
  <c r="V50" i="14"/>
  <c r="W50" i="14"/>
  <c r="X50" i="14"/>
  <c r="Y50" i="14"/>
  <c r="Z50" i="14"/>
  <c r="AA50" i="14"/>
  <c r="AB50" i="14"/>
  <c r="AC50" i="14"/>
  <c r="AD50" i="14"/>
  <c r="AE50" i="14"/>
  <c r="AF50" i="14"/>
  <c r="AG50" i="14"/>
  <c r="AH50" i="14"/>
  <c r="AI50" i="14"/>
  <c r="AJ50" i="14"/>
  <c r="AK50" i="14"/>
  <c r="AL50" i="14"/>
  <c r="AM50" i="14"/>
  <c r="AN50" i="14"/>
  <c r="AO50" i="14"/>
  <c r="AQ50" i="14"/>
  <c r="AR50" i="14"/>
  <c r="AS50" i="14"/>
  <c r="AT50" i="14"/>
  <c r="AU50" i="14"/>
  <c r="AV50" i="14"/>
  <c r="AW50" i="14"/>
  <c r="AX50" i="14"/>
  <c r="AY50" i="14"/>
  <c r="F51" i="14"/>
  <c r="G51" i="14"/>
  <c r="H51" i="14"/>
  <c r="I51" i="14"/>
  <c r="J51" i="14"/>
  <c r="K51" i="14"/>
  <c r="L51" i="14"/>
  <c r="M51" i="14"/>
  <c r="N51" i="14"/>
  <c r="O51" i="14"/>
  <c r="P51" i="14"/>
  <c r="Q51" i="14"/>
  <c r="R51" i="14"/>
  <c r="S51" i="14"/>
  <c r="T51" i="14"/>
  <c r="U51" i="14"/>
  <c r="V51" i="14"/>
  <c r="W51" i="14"/>
  <c r="X51" i="14"/>
  <c r="Y51" i="14"/>
  <c r="Z51" i="14"/>
  <c r="AA51" i="14"/>
  <c r="AB51" i="14"/>
  <c r="AC51" i="14"/>
  <c r="AD51" i="14"/>
  <c r="AE51" i="14"/>
  <c r="AF51" i="14"/>
  <c r="AG51" i="14"/>
  <c r="AH51" i="14"/>
  <c r="AI51" i="14"/>
  <c r="AJ51" i="14"/>
  <c r="AK51" i="14"/>
  <c r="AL51" i="14"/>
  <c r="AM51" i="14"/>
  <c r="AN51" i="14"/>
  <c r="AO51" i="14"/>
  <c r="AQ51" i="14"/>
  <c r="AR51" i="14"/>
  <c r="AS51" i="14"/>
  <c r="AT51" i="14"/>
  <c r="AU51" i="14"/>
  <c r="AV51" i="14"/>
  <c r="AW51" i="14"/>
  <c r="AX51" i="14"/>
  <c r="AY51" i="14"/>
  <c r="F52" i="14"/>
  <c r="G52" i="14"/>
  <c r="H52" i="14"/>
  <c r="I52" i="14"/>
  <c r="J52" i="14"/>
  <c r="K52" i="14"/>
  <c r="L52" i="14"/>
  <c r="M52" i="14"/>
  <c r="N52" i="14"/>
  <c r="O52" i="14"/>
  <c r="P52" i="14"/>
  <c r="Q52" i="14"/>
  <c r="R52" i="14"/>
  <c r="S52" i="14"/>
  <c r="T52" i="14"/>
  <c r="U52" i="14"/>
  <c r="V52" i="14"/>
  <c r="W52" i="14"/>
  <c r="X52" i="14"/>
  <c r="Y52" i="14"/>
  <c r="Z52" i="14"/>
  <c r="AA52" i="14"/>
  <c r="AB52" i="14"/>
  <c r="AC52" i="14"/>
  <c r="AD52" i="14"/>
  <c r="AE52" i="14"/>
  <c r="AF52" i="14"/>
  <c r="AG52" i="14"/>
  <c r="AH52" i="14"/>
  <c r="AI52" i="14"/>
  <c r="AJ52" i="14"/>
  <c r="AK52" i="14"/>
  <c r="AL52" i="14"/>
  <c r="AM52" i="14"/>
  <c r="AN52" i="14"/>
  <c r="AO52" i="14"/>
  <c r="AQ52" i="14"/>
  <c r="AR52" i="14"/>
  <c r="AS52" i="14"/>
  <c r="AT52" i="14"/>
  <c r="AU52" i="14"/>
  <c r="AV52" i="14"/>
  <c r="AW52" i="14"/>
  <c r="AX52" i="14"/>
  <c r="AY52" i="14"/>
  <c r="F53" i="14"/>
  <c r="G53" i="14"/>
  <c r="H53" i="14"/>
  <c r="I53" i="14"/>
  <c r="J53" i="14"/>
  <c r="K53" i="14"/>
  <c r="L53" i="14"/>
  <c r="M53" i="14"/>
  <c r="N53" i="14"/>
  <c r="O53" i="14"/>
  <c r="P53" i="14"/>
  <c r="Q53" i="14"/>
  <c r="R53" i="14"/>
  <c r="S53" i="14"/>
  <c r="T53" i="14"/>
  <c r="U53" i="14"/>
  <c r="V53" i="14"/>
  <c r="W53" i="14"/>
  <c r="X53" i="14"/>
  <c r="Y53" i="14"/>
  <c r="Z53" i="14"/>
  <c r="AA53" i="14"/>
  <c r="AB53" i="14"/>
  <c r="AC53" i="14"/>
  <c r="AD53" i="14"/>
  <c r="AE53" i="14"/>
  <c r="AF53" i="14"/>
  <c r="AG53" i="14"/>
  <c r="AH53" i="14"/>
  <c r="AI53" i="14"/>
  <c r="AJ53" i="14"/>
  <c r="AK53" i="14"/>
  <c r="AL53" i="14"/>
  <c r="AM53" i="14"/>
  <c r="AN53" i="14"/>
  <c r="AO53" i="14"/>
  <c r="AQ53" i="14"/>
  <c r="AR53" i="14"/>
  <c r="AS53" i="14"/>
  <c r="AT53" i="14"/>
  <c r="AU53" i="14"/>
  <c r="AV53" i="14"/>
  <c r="AW53" i="14"/>
  <c r="AX53" i="14"/>
  <c r="AY53"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AH56" i="14"/>
  <c r="AI56" i="14"/>
  <c r="AJ56" i="14"/>
  <c r="AK56" i="14"/>
  <c r="AL56" i="14"/>
  <c r="AM56" i="14"/>
  <c r="AN56" i="14"/>
  <c r="AO56" i="14"/>
  <c r="AQ56" i="14"/>
  <c r="AR56" i="14"/>
  <c r="AS56" i="14"/>
  <c r="AT56" i="14"/>
  <c r="AU56" i="14"/>
  <c r="AV56" i="14"/>
  <c r="AW56" i="14"/>
  <c r="AX56" i="14"/>
  <c r="AY56"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AH57" i="14"/>
  <c r="AI57" i="14"/>
  <c r="AJ57" i="14"/>
  <c r="AK57" i="14"/>
  <c r="AL57" i="14"/>
  <c r="AM57" i="14"/>
  <c r="AN57" i="14"/>
  <c r="AO57" i="14"/>
  <c r="AQ57" i="14"/>
  <c r="AR57" i="14"/>
  <c r="AS57" i="14"/>
  <c r="AT57" i="14"/>
  <c r="AU57" i="14"/>
  <c r="AV57" i="14"/>
  <c r="AW57" i="14"/>
  <c r="AX57" i="14"/>
  <c r="AY57" i="14"/>
  <c r="F58" i="14"/>
  <c r="G58" i="14"/>
  <c r="H58" i="14"/>
  <c r="I58" i="14"/>
  <c r="J58" i="14"/>
  <c r="K58" i="14"/>
  <c r="L58" i="14"/>
  <c r="M58" i="14"/>
  <c r="N58" i="14"/>
  <c r="O58" i="14"/>
  <c r="P58" i="14"/>
  <c r="Q58" i="14"/>
  <c r="R58" i="14"/>
  <c r="S58" i="14"/>
  <c r="T58" i="14"/>
  <c r="U58" i="14"/>
  <c r="V58" i="14"/>
  <c r="W58" i="14"/>
  <c r="X58" i="14"/>
  <c r="Y58" i="14"/>
  <c r="Z58" i="14"/>
  <c r="AA58" i="14"/>
  <c r="AB58" i="14"/>
  <c r="AC58" i="14"/>
  <c r="AD58" i="14"/>
  <c r="AE58" i="14"/>
  <c r="AF58" i="14"/>
  <c r="AG58" i="14"/>
  <c r="AH58" i="14"/>
  <c r="AI58" i="14"/>
  <c r="AJ58" i="14"/>
  <c r="AK58" i="14"/>
  <c r="AL58" i="14"/>
  <c r="AM58" i="14"/>
  <c r="AN58" i="14"/>
  <c r="AO58" i="14"/>
  <c r="AQ58" i="14"/>
  <c r="AR58" i="14"/>
  <c r="AS58" i="14"/>
  <c r="AT58" i="14"/>
  <c r="AU58" i="14"/>
  <c r="AV58" i="14"/>
  <c r="AW58" i="14"/>
  <c r="AX58" i="14"/>
  <c r="AY5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AH8" i="14"/>
  <c r="AI8" i="14"/>
  <c r="AJ8" i="14"/>
  <c r="AK8" i="14"/>
  <c r="AL8" i="14"/>
  <c r="AM8" i="14"/>
  <c r="AN8" i="14"/>
  <c r="AO8" i="14"/>
  <c r="AQ8" i="14"/>
  <c r="AR8" i="14"/>
  <c r="AS8" i="14"/>
  <c r="AT8" i="14"/>
  <c r="AU8" i="14"/>
  <c r="AV8" i="14"/>
  <c r="AW8" i="14"/>
  <c r="AX8" i="14"/>
  <c r="AY8" i="14"/>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2" i="14"/>
  <c r="B53" i="14"/>
  <c r="B52" i="14"/>
  <c r="B51" i="14"/>
  <c r="B50" i="14"/>
  <c r="B49" i="14"/>
  <c r="B48" i="14"/>
  <c r="B28" i="14"/>
  <c r="B27" i="14"/>
  <c r="B26" i="14"/>
  <c r="B25" i="14"/>
  <c r="B18" i="14"/>
  <c r="B11" i="14"/>
  <c r="B42" i="14"/>
  <c r="B10" i="14"/>
  <c r="B41" i="14"/>
  <c r="B17" i="14"/>
  <c r="B16" i="14"/>
  <c r="B40" i="14"/>
  <c r="B9" i="14"/>
  <c r="B8" i="14"/>
  <c r="B36" i="14"/>
  <c r="BO7" i="14"/>
  <c r="BN7" i="14"/>
  <c r="BM7" i="14"/>
  <c r="BL7" i="14"/>
  <c r="BK7" i="14"/>
  <c r="BJ7" i="14"/>
  <c r="BI7" i="14"/>
  <c r="BH7" i="14"/>
  <c r="BG7" i="14"/>
  <c r="BE7" i="14"/>
  <c r="BD7" i="14"/>
  <c r="BC7" i="14"/>
  <c r="BB7" i="14"/>
  <c r="BA7" i="14"/>
  <c r="AY7" i="14"/>
  <c r="AX7" i="14"/>
  <c r="AW7" i="14"/>
  <c r="AV7" i="14"/>
  <c r="AU7" i="14"/>
  <c r="AT7" i="14"/>
  <c r="AS7" i="14"/>
  <c r="AR7" i="14"/>
  <c r="AQ7" i="14"/>
  <c r="AO7" i="14"/>
  <c r="AN7" i="14"/>
  <c r="AM7" i="14"/>
  <c r="AL7"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D7" i="14"/>
  <c r="B7" i="14"/>
  <c r="B15" i="14"/>
  <c r="B35" i="14"/>
  <c r="B34" i="14"/>
  <c r="B58" i="14"/>
  <c r="B57" i="14"/>
  <c r="B22" i="14"/>
  <c r="B56" i="14"/>
  <c r="B19" i="14"/>
  <c r="B24" i="14"/>
  <c r="B23" i="14"/>
  <c r="B31" i="14"/>
  <c r="B47" i="14"/>
  <c r="B46" i="14"/>
  <c r="B45" i="14"/>
  <c r="B44" i="14"/>
  <c r="B43" i="14"/>
  <c r="B14" i="14"/>
  <c r="B39" i="14"/>
  <c r="B13" i="14"/>
  <c r="B38" i="14"/>
  <c r="P40" i="15" l="1"/>
  <c r="Z38" i="15"/>
  <c r="P38" i="15"/>
  <c r="Z37" i="15"/>
  <c r="Z36" i="15"/>
  <c r="P36" i="15"/>
  <c r="P10" i="15"/>
  <c r="P45" i="15"/>
  <c r="P11" i="15"/>
  <c r="P58" i="15"/>
  <c r="P37" i="15"/>
  <c r="P41" i="15"/>
  <c r="P49" i="15"/>
  <c r="P48" i="15"/>
  <c r="P33" i="15"/>
  <c r="P52" i="15"/>
  <c r="P54" i="15"/>
  <c r="P12" i="15"/>
  <c r="P9" i="15"/>
  <c r="P17" i="15"/>
  <c r="P21" i="15"/>
  <c r="P26" i="15"/>
  <c r="P46" i="15"/>
  <c r="P59" i="15"/>
  <c r="AP7" i="14"/>
  <c r="BF7" i="14"/>
  <c r="AP49" i="14"/>
  <c r="AP45" i="14"/>
  <c r="AP36" i="14"/>
  <c r="AP14" i="14"/>
  <c r="AP10" i="14"/>
  <c r="BF12" i="14"/>
  <c r="BF10" i="14"/>
  <c r="AP8" i="14"/>
  <c r="AP57" i="14"/>
  <c r="AP43" i="14"/>
  <c r="AP39" i="14"/>
  <c r="AP26" i="14"/>
  <c r="AP12" i="14"/>
  <c r="BF19" i="14"/>
  <c r="BF13" i="14"/>
  <c r="AP9" i="14"/>
  <c r="BF35" i="14"/>
  <c r="BF25" i="14"/>
  <c r="BF17" i="14"/>
  <c r="BF11" i="14"/>
  <c r="BF9" i="14"/>
  <c r="AP46" i="14"/>
  <c r="AP42" i="14"/>
  <c r="AP25" i="14"/>
  <c r="AP19" i="14"/>
  <c r="AP15" i="14"/>
  <c r="AP11" i="14"/>
  <c r="BF57" i="14"/>
  <c r="BF49" i="14"/>
  <c r="BF43" i="14"/>
  <c r="BF36" i="14"/>
  <c r="AP52" i="14"/>
  <c r="AP48" i="14"/>
  <c r="AP44" i="14"/>
  <c r="AP40" i="14"/>
  <c r="AP35" i="14"/>
  <c r="AP23" i="14"/>
  <c r="AP17" i="14"/>
  <c r="AP13" i="14"/>
  <c r="BF52" i="14"/>
  <c r="BF40" i="14"/>
  <c r="BF31" i="14"/>
  <c r="BF23" i="14"/>
  <c r="BF15" i="14"/>
  <c r="BF51" i="14"/>
  <c r="BF39" i="14"/>
  <c r="BF14" i="14"/>
  <c r="BF8" i="14"/>
  <c r="AP51" i="14"/>
  <c r="AP34" i="14"/>
  <c r="G32" i="2"/>
  <c r="G33" i="2"/>
  <c r="G37" i="2"/>
  <c r="G56" i="2"/>
  <c r="G57" i="2"/>
  <c r="G123" i="8"/>
  <c r="G121" i="8"/>
  <c r="G120" i="8"/>
  <c r="G55" i="15" s="1"/>
  <c r="G119" i="8"/>
  <c r="G54" i="15" s="1"/>
  <c r="G118" i="8"/>
  <c r="G53" i="15" s="1"/>
  <c r="G117" i="8"/>
  <c r="G52" i="15" s="1"/>
  <c r="G116" i="8"/>
  <c r="G51" i="15" s="1"/>
  <c r="G115" i="8"/>
  <c r="G50" i="15" s="1"/>
  <c r="G114" i="8"/>
  <c r="G113" i="8"/>
  <c r="G29" i="15" s="1"/>
  <c r="G112" i="8"/>
  <c r="G111" i="8"/>
  <c r="G27" i="15" s="1"/>
  <c r="G110" i="8"/>
  <c r="G20" i="15" s="1"/>
  <c r="G109" i="8"/>
  <c r="G108" i="8"/>
  <c r="G44" i="15" s="1"/>
  <c r="G107" i="8"/>
  <c r="G12" i="15" s="1"/>
  <c r="G106" i="8"/>
  <c r="G43" i="15" s="1"/>
  <c r="G105" i="8"/>
  <c r="G19" i="15" s="1"/>
  <c r="G104" i="8"/>
  <c r="G18" i="15" s="1"/>
  <c r="G103" i="8"/>
  <c r="G42" i="15" s="1"/>
  <c r="G102" i="8"/>
  <c r="G101" i="8"/>
  <c r="G100" i="8"/>
  <c r="G98" i="8"/>
  <c r="G9" i="15" s="1"/>
  <c r="G97" i="8"/>
  <c r="G37" i="15" s="1"/>
  <c r="G96" i="8"/>
  <c r="G95" i="8"/>
  <c r="G36" i="15" s="1"/>
  <c r="G94" i="8"/>
  <c r="G34" i="15" s="1"/>
  <c r="G93" i="8"/>
  <c r="G60" i="15" s="1"/>
  <c r="G92" i="8"/>
  <c r="G59" i="15" s="1"/>
  <c r="G89" i="8"/>
  <c r="G24" i="15" s="1"/>
  <c r="G87" i="8"/>
  <c r="G23" i="15" s="1"/>
  <c r="G86" i="8"/>
  <c r="G58" i="15" s="1"/>
  <c r="G85" i="8"/>
  <c r="G21" i="15" s="1"/>
  <c r="G83" i="8"/>
  <c r="G82" i="8"/>
  <c r="G25" i="15" s="1"/>
  <c r="G81" i="8"/>
  <c r="G142" i="8"/>
  <c r="G141" i="8"/>
  <c r="G140" i="8"/>
  <c r="G139" i="8"/>
  <c r="G138" i="8"/>
  <c r="G137" i="8"/>
  <c r="G136" i="8"/>
  <c r="G135" i="8"/>
  <c r="G134" i="8"/>
  <c r="G133" i="8"/>
  <c r="G79" i="8"/>
  <c r="G78" i="8"/>
  <c r="G77" i="8"/>
  <c r="G47" i="15" s="1"/>
  <c r="G76" i="8"/>
  <c r="G75" i="8"/>
  <c r="G73" i="8"/>
  <c r="G72" i="8"/>
  <c r="G71" i="8"/>
  <c r="G70" i="8"/>
  <c r="G69" i="8"/>
  <c r="G68" i="8"/>
  <c r="G67" i="8"/>
  <c r="G66" i="8"/>
  <c r="G65" i="8"/>
  <c r="G64" i="8"/>
  <c r="G63" i="8"/>
  <c r="G62" i="8"/>
  <c r="G61" i="8"/>
  <c r="G60" i="8"/>
  <c r="G59" i="8"/>
  <c r="G58" i="8"/>
  <c r="G57" i="8"/>
  <c r="G56" i="8"/>
  <c r="G55" i="8"/>
  <c r="G54" i="8"/>
  <c r="G49" i="2" s="1"/>
  <c r="G53" i="8"/>
  <c r="G48" i="2" s="1"/>
  <c r="G52" i="8"/>
  <c r="G47" i="2" s="1"/>
  <c r="G51" i="8"/>
  <c r="G46" i="2" s="1"/>
  <c r="G50" i="8"/>
  <c r="G45" i="2" s="1"/>
  <c r="G49" i="8"/>
  <c r="G55" i="2" s="1"/>
  <c r="G48" i="8"/>
  <c r="G54" i="2" s="1"/>
  <c r="G46" i="8"/>
  <c r="G21" i="2" s="1"/>
  <c r="G45" i="8"/>
  <c r="G53" i="2" s="1"/>
  <c r="G44" i="8"/>
  <c r="G52" i="2" s="1"/>
  <c r="G43" i="8"/>
  <c r="G51" i="2" s="1"/>
  <c r="G42" i="8"/>
  <c r="G50" i="2" s="1"/>
  <c r="G41" i="8"/>
  <c r="G24" i="2" s="1"/>
  <c r="G39" i="8"/>
  <c r="G60" i="2" s="1"/>
  <c r="G38" i="8"/>
  <c r="G23" i="2" s="1"/>
  <c r="G36" i="8"/>
  <c r="G59" i="2" s="1"/>
  <c r="G35" i="8"/>
  <c r="G58" i="2" s="1"/>
  <c r="G34" i="8"/>
  <c r="G30" i="2" s="1"/>
  <c r="G33" i="8"/>
  <c r="G32" i="8"/>
  <c r="G38" i="2" s="1"/>
  <c r="G31" i="8"/>
  <c r="G30" i="8"/>
  <c r="G27" i="2" s="1"/>
  <c r="G29" i="8"/>
  <c r="G27" i="8"/>
  <c r="G25" i="8"/>
  <c r="G34" i="2" s="1"/>
  <c r="G24" i="8"/>
  <c r="G25" i="2" s="1"/>
  <c r="G23" i="8"/>
  <c r="G20" i="2" s="1"/>
  <c r="G22" i="8"/>
  <c r="G21" i="8"/>
  <c r="G19" i="2" s="1"/>
  <c r="G20" i="8"/>
  <c r="G16" i="2" s="1"/>
  <c r="G19" i="8"/>
  <c r="G18" i="2" s="1"/>
  <c r="G18" i="8"/>
  <c r="G17" i="8"/>
  <c r="G16" i="8"/>
  <c r="G17" i="2" s="1"/>
  <c r="G15" i="8"/>
  <c r="G12" i="2" s="1"/>
  <c r="G14" i="8"/>
  <c r="G13" i="8"/>
  <c r="G15" i="2" s="1"/>
  <c r="G12" i="8"/>
  <c r="G10" i="2" s="1"/>
  <c r="G11" i="8"/>
  <c r="G31" i="2" s="1"/>
  <c r="G9" i="8"/>
  <c r="G44" i="2" s="1"/>
  <c r="G6" i="8"/>
  <c r="G41" i="2" s="1"/>
  <c r="G5" i="8"/>
  <c r="G43" i="2" s="1"/>
  <c r="G4" i="8"/>
  <c r="G42" i="2" s="1"/>
  <c r="G3" i="8"/>
  <c r="G39" i="2" s="1"/>
  <c r="G2" i="8"/>
  <c r="G40" i="2" s="1"/>
  <c r="A32" i="2"/>
  <c r="A33" i="2"/>
  <c r="A34" i="2"/>
  <c r="D32" i="2"/>
  <c r="D33" i="2"/>
  <c r="D56" i="2"/>
  <c r="D57" i="2"/>
  <c r="A56" i="2"/>
  <c r="A57" i="2"/>
  <c r="D36" i="2"/>
  <c r="D37" i="2"/>
  <c r="D38" i="2"/>
  <c r="A36" i="2"/>
  <c r="A37" i="2"/>
  <c r="A38" i="2"/>
  <c r="B54" i="3" l="1"/>
  <c r="B55" i="3"/>
  <c r="B31" i="3"/>
  <c r="B36" i="3"/>
  <c r="B30" i="3"/>
  <c r="B35" i="3"/>
  <c r="B34" i="3"/>
  <c r="R19" i="1"/>
  <c r="AI10" i="2"/>
  <c r="AI11" i="2"/>
  <c r="AI12" i="2"/>
  <c r="AI13" i="2"/>
  <c r="AI14" i="2"/>
  <c r="AI15" i="2"/>
  <c r="AI16" i="2"/>
  <c r="AI17" i="2"/>
  <c r="AI18" i="2"/>
  <c r="AI19" i="2"/>
  <c r="AI20" i="2"/>
  <c r="AI21" i="2"/>
  <c r="AI23" i="2"/>
  <c r="AI24" i="2"/>
  <c r="AI25" i="2"/>
  <c r="AI26" i="2"/>
  <c r="AI27" i="2"/>
  <c r="AI28" i="2"/>
  <c r="AI29" i="2"/>
  <c r="AI30" i="2"/>
  <c r="AI31" i="2"/>
  <c r="AI34" i="2"/>
  <c r="AI35" i="2"/>
  <c r="AI39" i="2"/>
  <c r="AI40" i="2"/>
  <c r="AI41" i="2"/>
  <c r="AI42" i="2"/>
  <c r="AI43" i="2"/>
  <c r="AI44" i="2"/>
  <c r="AI45" i="2"/>
  <c r="AI46" i="2"/>
  <c r="AI47" i="2"/>
  <c r="AI48" i="2"/>
  <c r="AI49" i="2"/>
  <c r="AI50" i="2"/>
  <c r="AI51" i="2"/>
  <c r="AI52" i="2"/>
  <c r="AI53" i="2"/>
  <c r="AI54" i="2"/>
  <c r="AI55" i="2"/>
  <c r="AI58" i="2"/>
  <c r="AI59" i="2"/>
  <c r="AI60" i="2"/>
  <c r="AI9" i="2"/>
  <c r="AH10" i="2"/>
  <c r="AH11" i="2"/>
  <c r="AH12" i="2"/>
  <c r="AH13" i="2"/>
  <c r="AH14" i="2"/>
  <c r="AH15" i="2"/>
  <c r="AH16" i="2"/>
  <c r="AH17" i="2"/>
  <c r="AH18" i="2"/>
  <c r="AH19" i="2"/>
  <c r="AH20" i="2"/>
  <c r="AH21" i="2"/>
  <c r="AH23" i="2"/>
  <c r="AH24" i="2"/>
  <c r="AH25" i="2"/>
  <c r="AH26" i="2"/>
  <c r="AH27" i="2"/>
  <c r="AH28" i="2"/>
  <c r="AH29" i="2"/>
  <c r="AH30" i="2"/>
  <c r="AH31" i="2"/>
  <c r="AH34" i="2"/>
  <c r="AH35" i="2"/>
  <c r="AH39" i="2"/>
  <c r="AH40" i="2"/>
  <c r="AH41" i="2"/>
  <c r="AH42" i="2"/>
  <c r="AH43" i="2"/>
  <c r="AH44" i="2"/>
  <c r="AH45" i="2"/>
  <c r="AH46" i="2"/>
  <c r="AH47" i="2"/>
  <c r="AH48" i="2"/>
  <c r="AH49" i="2"/>
  <c r="AH50" i="2"/>
  <c r="AH51" i="2"/>
  <c r="AH52" i="2"/>
  <c r="AH53" i="2"/>
  <c r="AH54" i="2"/>
  <c r="AH55" i="2"/>
  <c r="AH58" i="2"/>
  <c r="AH59" i="2"/>
  <c r="AH60" i="2"/>
  <c r="AH9" i="2"/>
  <c r="AG10" i="2"/>
  <c r="AG11" i="2"/>
  <c r="AG12" i="2"/>
  <c r="AG13" i="2"/>
  <c r="AG14" i="2"/>
  <c r="AG15" i="2"/>
  <c r="AG16" i="2"/>
  <c r="AG17" i="2"/>
  <c r="AG18" i="2"/>
  <c r="AG19" i="2"/>
  <c r="AG20" i="2"/>
  <c r="AG21" i="2"/>
  <c r="AG23" i="2"/>
  <c r="AG24" i="2"/>
  <c r="AG25" i="2"/>
  <c r="AG26" i="2"/>
  <c r="AG27" i="2"/>
  <c r="AG28" i="2"/>
  <c r="AG29" i="2"/>
  <c r="AG30" i="2"/>
  <c r="AG31" i="2"/>
  <c r="AG34" i="2"/>
  <c r="AG35" i="2"/>
  <c r="AG39" i="2"/>
  <c r="AG40" i="2"/>
  <c r="AG41" i="2"/>
  <c r="AG42" i="2"/>
  <c r="AG43" i="2"/>
  <c r="AG44" i="2"/>
  <c r="AG45" i="2"/>
  <c r="AG46" i="2"/>
  <c r="AG47" i="2"/>
  <c r="AG48" i="2"/>
  <c r="AG49" i="2"/>
  <c r="AG50" i="2"/>
  <c r="AG51" i="2"/>
  <c r="AG52" i="2"/>
  <c r="AG53" i="2"/>
  <c r="AG54" i="2"/>
  <c r="AG55" i="2"/>
  <c r="AG58" i="2"/>
  <c r="AG59" i="2"/>
  <c r="AG60" i="2"/>
  <c r="AG9" i="2"/>
  <c r="AF10" i="2"/>
  <c r="AF11" i="2"/>
  <c r="AF12" i="2"/>
  <c r="AF13" i="2"/>
  <c r="AF14" i="2"/>
  <c r="AF15" i="2"/>
  <c r="AF16" i="2"/>
  <c r="AF17" i="2"/>
  <c r="AF18" i="2"/>
  <c r="AF19" i="2"/>
  <c r="AF20" i="2"/>
  <c r="AF21" i="2"/>
  <c r="AF23" i="2"/>
  <c r="AF24" i="2"/>
  <c r="AF25" i="2"/>
  <c r="AF26" i="2"/>
  <c r="AF27" i="2"/>
  <c r="AF28" i="2"/>
  <c r="AF29" i="2"/>
  <c r="AF30" i="2"/>
  <c r="AF31" i="2"/>
  <c r="AF34" i="2"/>
  <c r="AF35" i="2"/>
  <c r="AF39" i="2"/>
  <c r="AF40" i="2"/>
  <c r="AF41" i="2"/>
  <c r="AF42" i="2"/>
  <c r="AF43" i="2"/>
  <c r="AF44" i="2"/>
  <c r="AF45" i="2"/>
  <c r="AF46" i="2"/>
  <c r="AF47" i="2"/>
  <c r="AF48" i="2"/>
  <c r="AF49" i="2"/>
  <c r="AF50" i="2"/>
  <c r="AF51" i="2"/>
  <c r="AF52" i="2"/>
  <c r="AF53" i="2"/>
  <c r="AF54" i="2"/>
  <c r="AF55" i="2"/>
  <c r="AF58" i="2"/>
  <c r="AF59" i="2"/>
  <c r="AF60" i="2"/>
  <c r="AF9" i="2"/>
  <c r="Y11" i="2"/>
  <c r="Y12" i="2"/>
  <c r="Y13" i="2"/>
  <c r="Y14" i="2"/>
  <c r="Y15" i="2"/>
  <c r="Y16" i="2"/>
  <c r="Y17" i="2"/>
  <c r="Y18" i="2"/>
  <c r="Y19" i="2"/>
  <c r="Y20" i="2"/>
  <c r="Y21" i="2"/>
  <c r="Y23" i="2"/>
  <c r="Y24" i="2"/>
  <c r="Y25" i="2"/>
  <c r="Y26" i="2"/>
  <c r="Y27" i="2"/>
  <c r="Y28" i="2"/>
  <c r="Y29" i="2"/>
  <c r="Y30" i="2"/>
  <c r="Y31" i="2"/>
  <c r="Y34" i="2"/>
  <c r="Y35" i="2"/>
  <c r="Y39" i="2"/>
  <c r="Y40" i="2"/>
  <c r="Y41" i="2"/>
  <c r="Y42" i="2"/>
  <c r="Y43" i="2"/>
  <c r="Y44" i="2"/>
  <c r="Y45" i="2"/>
  <c r="Y46" i="2"/>
  <c r="Y47" i="2"/>
  <c r="Y48" i="2"/>
  <c r="Y49" i="2"/>
  <c r="Y50" i="2"/>
  <c r="Y51" i="2"/>
  <c r="Y52" i="2"/>
  <c r="Y53" i="2"/>
  <c r="Y54" i="2"/>
  <c r="Y55" i="2"/>
  <c r="Y58" i="2"/>
  <c r="Y59" i="2"/>
  <c r="Y60" i="2"/>
  <c r="Y10" i="2"/>
  <c r="Y9" i="2"/>
  <c r="AA11" i="2"/>
  <c r="AA12" i="2"/>
  <c r="AA13" i="2"/>
  <c r="AA14" i="2"/>
  <c r="AA15" i="2"/>
  <c r="AA16" i="2"/>
  <c r="AA17" i="2"/>
  <c r="AA18" i="2"/>
  <c r="AA19" i="2"/>
  <c r="AA20" i="2"/>
  <c r="AA21" i="2"/>
  <c r="AA23" i="2"/>
  <c r="AA24" i="2"/>
  <c r="AA25" i="2"/>
  <c r="AA26" i="2"/>
  <c r="AA27" i="2"/>
  <c r="AA28" i="2"/>
  <c r="AA29" i="2"/>
  <c r="AA30" i="2"/>
  <c r="AA31" i="2"/>
  <c r="AA34" i="2"/>
  <c r="AA35" i="2"/>
  <c r="AA39" i="2"/>
  <c r="AA40" i="2"/>
  <c r="AA41" i="2"/>
  <c r="AA42" i="2"/>
  <c r="AA43" i="2"/>
  <c r="AA44" i="2"/>
  <c r="AA45" i="2"/>
  <c r="AA46" i="2"/>
  <c r="AA47" i="2"/>
  <c r="AA48" i="2"/>
  <c r="AA49" i="2"/>
  <c r="AA50" i="2"/>
  <c r="AA51" i="2"/>
  <c r="AA52" i="2"/>
  <c r="AA53" i="2"/>
  <c r="AA54" i="2"/>
  <c r="AA55" i="2"/>
  <c r="AA58" i="2"/>
  <c r="AA59" i="2"/>
  <c r="AA60" i="2"/>
  <c r="P25" i="2"/>
  <c r="W41" i="2"/>
  <c r="X41" i="2"/>
  <c r="Z41" i="2" s="1"/>
  <c r="W42" i="2"/>
  <c r="X42" i="2"/>
  <c r="W43" i="2"/>
  <c r="X43" i="2"/>
  <c r="Z43" i="2" s="1"/>
  <c r="W31" i="2"/>
  <c r="X31" i="2"/>
  <c r="Z31" i="2" s="1"/>
  <c r="W44" i="2"/>
  <c r="X44" i="2"/>
  <c r="Z44" i="2" s="1"/>
  <c r="W9" i="2"/>
  <c r="X9" i="2"/>
  <c r="W10" i="2"/>
  <c r="X10" i="2"/>
  <c r="W11" i="2"/>
  <c r="X11" i="2"/>
  <c r="W15" i="2"/>
  <c r="X15" i="2"/>
  <c r="W12" i="2"/>
  <c r="X12" i="2"/>
  <c r="W16" i="2"/>
  <c r="X16" i="2"/>
  <c r="W17" i="2"/>
  <c r="X17" i="2"/>
  <c r="W13" i="2"/>
  <c r="X13" i="2"/>
  <c r="W14" i="2"/>
  <c r="X14" i="2"/>
  <c r="W18" i="2"/>
  <c r="X18" i="2"/>
  <c r="Z18" i="2" s="1"/>
  <c r="W19" i="2"/>
  <c r="X19" i="2"/>
  <c r="Z19" i="2" s="1"/>
  <c r="W20" i="2"/>
  <c r="X20" i="2"/>
  <c r="W25" i="2"/>
  <c r="X25" i="2"/>
  <c r="W26" i="2"/>
  <c r="X26" i="2"/>
  <c r="Z26" i="2" s="1"/>
  <c r="W34" i="2"/>
  <c r="X34" i="2"/>
  <c r="W27" i="2"/>
  <c r="X27" i="2"/>
  <c r="W28" i="2"/>
  <c r="X28" i="2"/>
  <c r="W35" i="2"/>
  <c r="X35" i="2"/>
  <c r="W29" i="2"/>
  <c r="X29" i="2"/>
  <c r="Z29" i="2" s="1"/>
  <c r="W30" i="2"/>
  <c r="X30" i="2"/>
  <c r="Z30" i="2" s="1"/>
  <c r="W58" i="2"/>
  <c r="X58" i="2"/>
  <c r="W59" i="2"/>
  <c r="X59" i="2"/>
  <c r="Z59" i="2" s="1"/>
  <c r="W23" i="2"/>
  <c r="X23" i="2"/>
  <c r="W60" i="2"/>
  <c r="X60" i="2"/>
  <c r="W24" i="2"/>
  <c r="X24" i="2"/>
  <c r="Z24" i="2" s="1"/>
  <c r="W50" i="2"/>
  <c r="X50" i="2"/>
  <c r="W51" i="2"/>
  <c r="X51" i="2"/>
  <c r="W52" i="2"/>
  <c r="X52" i="2"/>
  <c r="W21" i="2"/>
  <c r="X21" i="2"/>
  <c r="Z21" i="2" s="1"/>
  <c r="W53" i="2"/>
  <c r="X53" i="2"/>
  <c r="Z53" i="2" s="1"/>
  <c r="W54" i="2"/>
  <c r="X54" i="2"/>
  <c r="W55" i="2"/>
  <c r="X55" i="2"/>
  <c r="W45" i="2"/>
  <c r="X45" i="2"/>
  <c r="Z45" i="2" s="1"/>
  <c r="W46" i="2"/>
  <c r="X46" i="2"/>
  <c r="W47" i="2"/>
  <c r="X47" i="2"/>
  <c r="W48" i="2"/>
  <c r="X48" i="2"/>
  <c r="W49" i="2"/>
  <c r="X49" i="2"/>
  <c r="Z49" i="2" s="1"/>
  <c r="V41" i="2"/>
  <c r="V42" i="2"/>
  <c r="V43" i="2"/>
  <c r="V31" i="2"/>
  <c r="V44" i="2"/>
  <c r="V9" i="2"/>
  <c r="V10" i="2"/>
  <c r="V11" i="2"/>
  <c r="V15" i="2"/>
  <c r="V12" i="2"/>
  <c r="V16" i="2"/>
  <c r="V17" i="2"/>
  <c r="V13" i="2"/>
  <c r="V14" i="2"/>
  <c r="V18" i="2"/>
  <c r="V19" i="2"/>
  <c r="V20" i="2"/>
  <c r="V25" i="2"/>
  <c r="V26" i="2"/>
  <c r="V34" i="2"/>
  <c r="V27" i="2"/>
  <c r="V28" i="2"/>
  <c r="V35" i="2"/>
  <c r="V29" i="2"/>
  <c r="V30" i="2"/>
  <c r="V58" i="2"/>
  <c r="V59" i="2"/>
  <c r="V23" i="2"/>
  <c r="V60" i="2"/>
  <c r="V24" i="2"/>
  <c r="V50" i="2"/>
  <c r="V51" i="2"/>
  <c r="V52" i="2"/>
  <c r="V21" i="2"/>
  <c r="V53" i="2"/>
  <c r="V54" i="2"/>
  <c r="V55" i="2"/>
  <c r="V45" i="2"/>
  <c r="V46" i="2"/>
  <c r="V47" i="2"/>
  <c r="V48" i="2"/>
  <c r="V49" i="2"/>
  <c r="AB11" i="2"/>
  <c r="AC11" i="2"/>
  <c r="AD11" i="2"/>
  <c r="AB12" i="2"/>
  <c r="AC12" i="2"/>
  <c r="AD12" i="2"/>
  <c r="AB13" i="2"/>
  <c r="AC13" i="2"/>
  <c r="AD13" i="2"/>
  <c r="AB14" i="2"/>
  <c r="AC14" i="2"/>
  <c r="AD14" i="2"/>
  <c r="AB15" i="2"/>
  <c r="AC15" i="2"/>
  <c r="AD15" i="2"/>
  <c r="AB16" i="2"/>
  <c r="AC16" i="2"/>
  <c r="AD16" i="2"/>
  <c r="AB17" i="2"/>
  <c r="AC17" i="2"/>
  <c r="AD17" i="2"/>
  <c r="AB18" i="2"/>
  <c r="AC18" i="2"/>
  <c r="AD18" i="2"/>
  <c r="AB19" i="2"/>
  <c r="AC19" i="2"/>
  <c r="AD19" i="2"/>
  <c r="AB20" i="2"/>
  <c r="AC20" i="2"/>
  <c r="AD20" i="2"/>
  <c r="AB21" i="2"/>
  <c r="AC21" i="2"/>
  <c r="AD21" i="2"/>
  <c r="AB23" i="2"/>
  <c r="AC23" i="2"/>
  <c r="AD23" i="2"/>
  <c r="AB24" i="2"/>
  <c r="AC24" i="2"/>
  <c r="AD24" i="2"/>
  <c r="AB25" i="2"/>
  <c r="AC25" i="2"/>
  <c r="AD25" i="2"/>
  <c r="AB26" i="2"/>
  <c r="AC26" i="2"/>
  <c r="AD26" i="2"/>
  <c r="AB27" i="2"/>
  <c r="AC27" i="2"/>
  <c r="AD27" i="2"/>
  <c r="AB28" i="2"/>
  <c r="AC28" i="2"/>
  <c r="AD28" i="2"/>
  <c r="AB29" i="2"/>
  <c r="AC29" i="2"/>
  <c r="AD29" i="2"/>
  <c r="AB30" i="2"/>
  <c r="AC30" i="2"/>
  <c r="AD30" i="2"/>
  <c r="AB31" i="2"/>
  <c r="AC31" i="2"/>
  <c r="AD31" i="2"/>
  <c r="AB34" i="2"/>
  <c r="AC34" i="2"/>
  <c r="AD34" i="2"/>
  <c r="AB35" i="2"/>
  <c r="AC35" i="2"/>
  <c r="AD35" i="2"/>
  <c r="AB39" i="2"/>
  <c r="AC39" i="2"/>
  <c r="AD39" i="2"/>
  <c r="AB40" i="2"/>
  <c r="AC40" i="2"/>
  <c r="AD40" i="2"/>
  <c r="AB41" i="2"/>
  <c r="AC41" i="2"/>
  <c r="AD41" i="2"/>
  <c r="AB42" i="2"/>
  <c r="AC42" i="2"/>
  <c r="AD42" i="2"/>
  <c r="AB43" i="2"/>
  <c r="AC43" i="2"/>
  <c r="AD43" i="2"/>
  <c r="AB44" i="2"/>
  <c r="AC44" i="2"/>
  <c r="AD44" i="2"/>
  <c r="AB45" i="2"/>
  <c r="AC45" i="2"/>
  <c r="AD45" i="2"/>
  <c r="AB46" i="2"/>
  <c r="AC46" i="2"/>
  <c r="AD46" i="2"/>
  <c r="AB47" i="2"/>
  <c r="AC47" i="2"/>
  <c r="AD47" i="2"/>
  <c r="AB48" i="2"/>
  <c r="AC48" i="2"/>
  <c r="AD48" i="2"/>
  <c r="AB49" i="2"/>
  <c r="AC49" i="2"/>
  <c r="AD49" i="2"/>
  <c r="AB50" i="2"/>
  <c r="AC50" i="2"/>
  <c r="AD50" i="2"/>
  <c r="AB51" i="2"/>
  <c r="AC51" i="2"/>
  <c r="AD51" i="2"/>
  <c r="AB52" i="2"/>
  <c r="AC52" i="2"/>
  <c r="AD52" i="2"/>
  <c r="AB53" i="2"/>
  <c r="AC53" i="2"/>
  <c r="AD53" i="2"/>
  <c r="AB54" i="2"/>
  <c r="AC54" i="2"/>
  <c r="AD54" i="2"/>
  <c r="AB55" i="2"/>
  <c r="AC55" i="2"/>
  <c r="AD55" i="2"/>
  <c r="AB58" i="2"/>
  <c r="AC58" i="2"/>
  <c r="AD58" i="2"/>
  <c r="AB59" i="2"/>
  <c r="AC59" i="2"/>
  <c r="AD59" i="2"/>
  <c r="AB60" i="2"/>
  <c r="AC60" i="2"/>
  <c r="AD60" i="2"/>
  <c r="AV38" i="3"/>
  <c r="AW38" i="3"/>
  <c r="AX38" i="3"/>
  <c r="AY38" i="3"/>
  <c r="AV39" i="3"/>
  <c r="AW39" i="3"/>
  <c r="AX39" i="3"/>
  <c r="AY39" i="3"/>
  <c r="AV40" i="3"/>
  <c r="AW40" i="3"/>
  <c r="AX40" i="3"/>
  <c r="AY40" i="3"/>
  <c r="AV41" i="3"/>
  <c r="AW41" i="3"/>
  <c r="AX41" i="3"/>
  <c r="AY41" i="3"/>
  <c r="AV29" i="3"/>
  <c r="AW29" i="3"/>
  <c r="AX29" i="3"/>
  <c r="AY29" i="3"/>
  <c r="AV42" i="3"/>
  <c r="AW42" i="3"/>
  <c r="AX42" i="3"/>
  <c r="AY42" i="3"/>
  <c r="AV7" i="3"/>
  <c r="AW7" i="3"/>
  <c r="AX7" i="3"/>
  <c r="AY7" i="3"/>
  <c r="AV8" i="3"/>
  <c r="AW8" i="3"/>
  <c r="AX8" i="3"/>
  <c r="AY8" i="3"/>
  <c r="AV9" i="3"/>
  <c r="AW9" i="3"/>
  <c r="AX9" i="3"/>
  <c r="AY9" i="3"/>
  <c r="AV13" i="3"/>
  <c r="AW13" i="3"/>
  <c r="AX13" i="3"/>
  <c r="AY13" i="3"/>
  <c r="AV10" i="3"/>
  <c r="AW10" i="3"/>
  <c r="AX10" i="3"/>
  <c r="AY10" i="3"/>
  <c r="AV14" i="3"/>
  <c r="AW14" i="3"/>
  <c r="AX14" i="3"/>
  <c r="AY14" i="3"/>
  <c r="AV15" i="3"/>
  <c r="AW15" i="3"/>
  <c r="AX15" i="3"/>
  <c r="AY15" i="3"/>
  <c r="AV11" i="3"/>
  <c r="AW11" i="3"/>
  <c r="AX11" i="3"/>
  <c r="AY11" i="3"/>
  <c r="AV12" i="3"/>
  <c r="AW12" i="3"/>
  <c r="AX12" i="3"/>
  <c r="AY12" i="3"/>
  <c r="AV16" i="3"/>
  <c r="AW16" i="3"/>
  <c r="AX16" i="3"/>
  <c r="AY16" i="3"/>
  <c r="AV17" i="3"/>
  <c r="AW17" i="3"/>
  <c r="AX17" i="3"/>
  <c r="AY17" i="3"/>
  <c r="AV18" i="3"/>
  <c r="AW18" i="3"/>
  <c r="AX18" i="3"/>
  <c r="AY18" i="3"/>
  <c r="AV23" i="3"/>
  <c r="AW23" i="3"/>
  <c r="AX23" i="3"/>
  <c r="AY23" i="3"/>
  <c r="AV24" i="3"/>
  <c r="AW24" i="3"/>
  <c r="AX24" i="3"/>
  <c r="AY24" i="3"/>
  <c r="AV32" i="3"/>
  <c r="AW32" i="3"/>
  <c r="AX32" i="3"/>
  <c r="AY32" i="3"/>
  <c r="AV25" i="3"/>
  <c r="AW25" i="3"/>
  <c r="AX25" i="3"/>
  <c r="AY25" i="3"/>
  <c r="AV26" i="3"/>
  <c r="AW26" i="3"/>
  <c r="AX26" i="3"/>
  <c r="AY26" i="3"/>
  <c r="AV33" i="3"/>
  <c r="AW33" i="3"/>
  <c r="AX33" i="3"/>
  <c r="AY33" i="3"/>
  <c r="AV27" i="3"/>
  <c r="AW27" i="3"/>
  <c r="AX27" i="3"/>
  <c r="AY27" i="3"/>
  <c r="AV28" i="3"/>
  <c r="AW28" i="3"/>
  <c r="AX28" i="3"/>
  <c r="AY28" i="3"/>
  <c r="AV56" i="3"/>
  <c r="AW56" i="3"/>
  <c r="AX56" i="3"/>
  <c r="AY56" i="3"/>
  <c r="AV57" i="3"/>
  <c r="AW57" i="3"/>
  <c r="AX57" i="3"/>
  <c r="AY57" i="3"/>
  <c r="AV21" i="3"/>
  <c r="AW21" i="3"/>
  <c r="AX21" i="3"/>
  <c r="AY21" i="3"/>
  <c r="AV58" i="3"/>
  <c r="AW58" i="3"/>
  <c r="AX58" i="3"/>
  <c r="AY58" i="3"/>
  <c r="AV22" i="3"/>
  <c r="AW22" i="3"/>
  <c r="AX22" i="3"/>
  <c r="AY22" i="3"/>
  <c r="AV48" i="3"/>
  <c r="AW48" i="3"/>
  <c r="AX48" i="3"/>
  <c r="AY48" i="3"/>
  <c r="AV49" i="3"/>
  <c r="AW49" i="3"/>
  <c r="AX49" i="3"/>
  <c r="AY49" i="3"/>
  <c r="AV50" i="3"/>
  <c r="AW50" i="3"/>
  <c r="AX50" i="3"/>
  <c r="AY50" i="3"/>
  <c r="AV19" i="3"/>
  <c r="AW19" i="3"/>
  <c r="AX19" i="3"/>
  <c r="AY19" i="3"/>
  <c r="AV51" i="3"/>
  <c r="AW51" i="3"/>
  <c r="AX51" i="3"/>
  <c r="AY51" i="3"/>
  <c r="AV52" i="3"/>
  <c r="AW52" i="3"/>
  <c r="AX52" i="3"/>
  <c r="AY52" i="3"/>
  <c r="AV53" i="3"/>
  <c r="AW53" i="3"/>
  <c r="AX53" i="3"/>
  <c r="AY53" i="3"/>
  <c r="AV43" i="3"/>
  <c r="AW43" i="3"/>
  <c r="AX43" i="3"/>
  <c r="AY43" i="3"/>
  <c r="AV44" i="3"/>
  <c r="AW44" i="3"/>
  <c r="AX44" i="3"/>
  <c r="AY44" i="3"/>
  <c r="AV45" i="3"/>
  <c r="AW45" i="3"/>
  <c r="AX45" i="3"/>
  <c r="AY45" i="3"/>
  <c r="AV46" i="3"/>
  <c r="AW46" i="3"/>
  <c r="AX46" i="3"/>
  <c r="AY46" i="3"/>
  <c r="AV47" i="3"/>
  <c r="AW47" i="3"/>
  <c r="AX47" i="3"/>
  <c r="AY47" i="3"/>
  <c r="AD10" i="2"/>
  <c r="AD9" i="2"/>
  <c r="AC10" i="2"/>
  <c r="AC9" i="2"/>
  <c r="AB10" i="2"/>
  <c r="AB9" i="2"/>
  <c r="AA10" i="2"/>
  <c r="X40" i="2"/>
  <c r="Z40" i="2" s="1"/>
  <c r="W40" i="2"/>
  <c r="V40" i="2"/>
  <c r="AA9" i="2"/>
  <c r="X39" i="2"/>
  <c r="Z39" i="2" s="1"/>
  <c r="W39" i="2"/>
  <c r="V39" i="2"/>
  <c r="U41" i="2"/>
  <c r="U42" i="2"/>
  <c r="U43" i="2"/>
  <c r="U31" i="2"/>
  <c r="U44" i="2"/>
  <c r="U9" i="2"/>
  <c r="U10" i="2"/>
  <c r="U11" i="2"/>
  <c r="U15" i="2"/>
  <c r="U12" i="2"/>
  <c r="U16" i="2"/>
  <c r="U17" i="2"/>
  <c r="U13" i="2"/>
  <c r="U14" i="2"/>
  <c r="U18" i="2"/>
  <c r="U19" i="2"/>
  <c r="U20" i="2"/>
  <c r="U25" i="2"/>
  <c r="U26" i="2"/>
  <c r="U34" i="2"/>
  <c r="U27" i="2"/>
  <c r="U28" i="2"/>
  <c r="U35" i="2"/>
  <c r="U29" i="2"/>
  <c r="U30" i="2"/>
  <c r="U58" i="2"/>
  <c r="U59" i="2"/>
  <c r="U23" i="2"/>
  <c r="U60" i="2"/>
  <c r="U24" i="2"/>
  <c r="U50" i="2"/>
  <c r="U51" i="2"/>
  <c r="U52" i="2"/>
  <c r="U21" i="2"/>
  <c r="U53" i="2"/>
  <c r="U54" i="2"/>
  <c r="U55" i="2"/>
  <c r="U45" i="2"/>
  <c r="U46" i="2"/>
  <c r="U47" i="2"/>
  <c r="U48" i="2"/>
  <c r="U49" i="2"/>
  <c r="U40" i="2"/>
  <c r="U39" i="2"/>
  <c r="T41" i="2"/>
  <c r="T42" i="2"/>
  <c r="T43" i="2"/>
  <c r="T31" i="2"/>
  <c r="T44" i="2"/>
  <c r="T9" i="2"/>
  <c r="T10" i="2"/>
  <c r="T11" i="2"/>
  <c r="T15" i="2"/>
  <c r="T12" i="2"/>
  <c r="T16" i="2"/>
  <c r="T17" i="2"/>
  <c r="T13" i="2"/>
  <c r="T14" i="2"/>
  <c r="T18" i="2"/>
  <c r="T19" i="2"/>
  <c r="T20" i="2"/>
  <c r="T25" i="2"/>
  <c r="T26" i="2"/>
  <c r="T34" i="2"/>
  <c r="T27" i="2"/>
  <c r="T28" i="2"/>
  <c r="T35" i="2"/>
  <c r="T29" i="2"/>
  <c r="T30" i="2"/>
  <c r="T58" i="2"/>
  <c r="T59" i="2"/>
  <c r="T23" i="2"/>
  <c r="T60" i="2"/>
  <c r="T24" i="2"/>
  <c r="T50" i="2"/>
  <c r="T51" i="2"/>
  <c r="T52" i="2"/>
  <c r="T21" i="2"/>
  <c r="T53" i="2"/>
  <c r="T54" i="2"/>
  <c r="T55" i="2"/>
  <c r="T45" i="2"/>
  <c r="T46" i="2"/>
  <c r="T47" i="2"/>
  <c r="T48" i="2"/>
  <c r="T49" i="2"/>
  <c r="T40" i="2"/>
  <c r="T39" i="2"/>
  <c r="S41" i="2"/>
  <c r="S43" i="2"/>
  <c r="S31" i="2"/>
  <c r="S44" i="2"/>
  <c r="S9" i="2"/>
  <c r="S10" i="2"/>
  <c r="S11" i="2"/>
  <c r="S15" i="2"/>
  <c r="S12" i="2"/>
  <c r="S16" i="2"/>
  <c r="S17" i="2"/>
  <c r="S13" i="2"/>
  <c r="S18" i="2"/>
  <c r="S19" i="2"/>
  <c r="S20" i="2"/>
  <c r="S25" i="2"/>
  <c r="S26" i="2"/>
  <c r="S34" i="2"/>
  <c r="S27" i="2"/>
  <c r="S28" i="2"/>
  <c r="S35" i="2"/>
  <c r="S29" i="2"/>
  <c r="S30" i="2"/>
  <c r="S58" i="2"/>
  <c r="S59" i="2"/>
  <c r="S23" i="2"/>
  <c r="S60" i="2"/>
  <c r="S50" i="2"/>
  <c r="S51" i="2"/>
  <c r="S52" i="2"/>
  <c r="S21" i="2"/>
  <c r="S53" i="2"/>
  <c r="S54" i="2"/>
  <c r="S55" i="2"/>
  <c r="S45" i="2"/>
  <c r="S46" i="2"/>
  <c r="S47" i="2"/>
  <c r="S48" i="2"/>
  <c r="S49" i="2"/>
  <c r="S40" i="2"/>
  <c r="S39" i="2"/>
  <c r="R41" i="2"/>
  <c r="R42" i="2"/>
  <c r="R43" i="2"/>
  <c r="R31" i="2"/>
  <c r="R44" i="2"/>
  <c r="R9" i="2"/>
  <c r="R10" i="2"/>
  <c r="R11" i="2"/>
  <c r="R15" i="2"/>
  <c r="R12" i="2"/>
  <c r="R16" i="2"/>
  <c r="R17" i="2"/>
  <c r="R13" i="2"/>
  <c r="R14" i="2"/>
  <c r="R18" i="2"/>
  <c r="R19" i="2"/>
  <c r="R20" i="2"/>
  <c r="R25" i="2"/>
  <c r="R26" i="2"/>
  <c r="R34" i="2"/>
  <c r="R27" i="2"/>
  <c r="R28" i="2"/>
  <c r="R35" i="2"/>
  <c r="R29" i="2"/>
  <c r="R30" i="2"/>
  <c r="R58" i="2"/>
  <c r="R59" i="2"/>
  <c r="R23" i="2"/>
  <c r="R60" i="2"/>
  <c r="R24" i="2"/>
  <c r="R50" i="2"/>
  <c r="R51" i="2"/>
  <c r="R52" i="2"/>
  <c r="R21" i="2"/>
  <c r="R53" i="2"/>
  <c r="R54" i="2"/>
  <c r="R55" i="2"/>
  <c r="R45" i="2"/>
  <c r="R46" i="2"/>
  <c r="R47" i="2"/>
  <c r="R48" i="2"/>
  <c r="R49" i="2"/>
  <c r="R40" i="2"/>
  <c r="R39" i="2"/>
  <c r="Q41" i="2"/>
  <c r="Q42" i="2"/>
  <c r="Q43" i="2"/>
  <c r="Q31" i="2"/>
  <c r="Q44" i="2"/>
  <c r="Q9" i="2"/>
  <c r="Q10" i="2"/>
  <c r="Q11" i="2"/>
  <c r="Q15" i="2"/>
  <c r="Q16" i="2"/>
  <c r="Q17" i="2"/>
  <c r="Q13" i="2"/>
  <c r="Q14" i="2"/>
  <c r="Q18" i="2"/>
  <c r="Q19" i="2"/>
  <c r="Q20" i="2"/>
  <c r="Q25" i="2"/>
  <c r="Q26" i="2"/>
  <c r="Q34" i="2"/>
  <c r="Q27" i="2"/>
  <c r="Q28" i="2"/>
  <c r="Q35" i="2"/>
  <c r="Q29" i="2"/>
  <c r="Q30" i="2"/>
  <c r="Q58" i="2"/>
  <c r="Q59" i="2"/>
  <c r="Q23" i="2"/>
  <c r="Q60" i="2"/>
  <c r="Q24" i="2"/>
  <c r="Q50" i="2"/>
  <c r="Q51" i="2"/>
  <c r="Q52" i="2"/>
  <c r="Q21" i="2"/>
  <c r="Q53" i="2"/>
  <c r="Q54" i="2"/>
  <c r="Q55" i="2"/>
  <c r="Q45" i="2"/>
  <c r="Q48" i="2"/>
  <c r="Q49" i="2"/>
  <c r="Q40" i="2"/>
  <c r="Q39" i="2"/>
  <c r="O41" i="2"/>
  <c r="O42" i="2"/>
  <c r="O43" i="2"/>
  <c r="O31" i="2"/>
  <c r="O44" i="2"/>
  <c r="O9" i="2"/>
  <c r="O10" i="2"/>
  <c r="O11" i="2"/>
  <c r="O15" i="2"/>
  <c r="O12" i="2"/>
  <c r="O16" i="2"/>
  <c r="O17" i="2"/>
  <c r="O13" i="2"/>
  <c r="O14" i="2"/>
  <c r="O18" i="2"/>
  <c r="O19" i="2"/>
  <c r="O20" i="2"/>
  <c r="O25" i="2"/>
  <c r="O26" i="2"/>
  <c r="O34" i="2"/>
  <c r="O27" i="2"/>
  <c r="O28" i="2"/>
  <c r="O35" i="2"/>
  <c r="O29" i="2"/>
  <c r="O30" i="2"/>
  <c r="O58" i="2"/>
  <c r="O59" i="2"/>
  <c r="O23" i="2"/>
  <c r="O60" i="2"/>
  <c r="O24" i="2"/>
  <c r="O50" i="2"/>
  <c r="O51" i="2"/>
  <c r="O52" i="2"/>
  <c r="O21" i="2"/>
  <c r="O53" i="2"/>
  <c r="O54" i="2"/>
  <c r="O55" i="2"/>
  <c r="O45" i="2"/>
  <c r="O46" i="2"/>
  <c r="O47" i="2"/>
  <c r="O48" i="2"/>
  <c r="O49" i="2"/>
  <c r="O40" i="2"/>
  <c r="O39" i="2"/>
  <c r="N41" i="2"/>
  <c r="N42" i="2"/>
  <c r="N43" i="2"/>
  <c r="N31" i="2"/>
  <c r="N44" i="2"/>
  <c r="N9" i="2"/>
  <c r="N10" i="2"/>
  <c r="N11" i="2"/>
  <c r="N15" i="2"/>
  <c r="N12" i="2"/>
  <c r="N16" i="2"/>
  <c r="N17" i="2"/>
  <c r="N13" i="2"/>
  <c r="N14" i="2"/>
  <c r="N18" i="2"/>
  <c r="N19" i="2"/>
  <c r="N20" i="2"/>
  <c r="N25" i="2"/>
  <c r="N26" i="2"/>
  <c r="N34" i="2"/>
  <c r="N27" i="2"/>
  <c r="N28" i="2"/>
  <c r="N35" i="2"/>
  <c r="N29" i="2"/>
  <c r="N30" i="2"/>
  <c r="N58" i="2"/>
  <c r="N59" i="2"/>
  <c r="N23" i="2"/>
  <c r="N60" i="2"/>
  <c r="N24" i="2"/>
  <c r="N50" i="2"/>
  <c r="N51" i="2"/>
  <c r="N52" i="2"/>
  <c r="N21" i="2"/>
  <c r="N53" i="2"/>
  <c r="N54" i="2"/>
  <c r="N55" i="2"/>
  <c r="N45" i="2"/>
  <c r="N46" i="2"/>
  <c r="N47" i="2"/>
  <c r="N48" i="2"/>
  <c r="N49" i="2"/>
  <c r="N40" i="2"/>
  <c r="N39" i="2"/>
  <c r="M41" i="2"/>
  <c r="M42" i="2"/>
  <c r="M43" i="2"/>
  <c r="M31" i="2"/>
  <c r="M44" i="2"/>
  <c r="M9" i="2"/>
  <c r="M10" i="2"/>
  <c r="M11" i="2"/>
  <c r="M15" i="2"/>
  <c r="M12" i="2"/>
  <c r="M16" i="2"/>
  <c r="M17" i="2"/>
  <c r="M13" i="2"/>
  <c r="M14" i="2"/>
  <c r="M18" i="2"/>
  <c r="M19" i="2"/>
  <c r="M20" i="2"/>
  <c r="M25" i="2"/>
  <c r="M26" i="2"/>
  <c r="M34" i="2"/>
  <c r="M27" i="2"/>
  <c r="M28" i="2"/>
  <c r="M35" i="2"/>
  <c r="M29" i="2"/>
  <c r="M30" i="2"/>
  <c r="M58" i="2"/>
  <c r="M59" i="2"/>
  <c r="M23" i="2"/>
  <c r="M60" i="2"/>
  <c r="M24" i="2"/>
  <c r="M50" i="2"/>
  <c r="M52" i="2"/>
  <c r="M21" i="2"/>
  <c r="M53" i="2"/>
  <c r="M54" i="2"/>
  <c r="M55" i="2"/>
  <c r="M45" i="2"/>
  <c r="M46" i="2"/>
  <c r="M47" i="2"/>
  <c r="M48" i="2"/>
  <c r="M49" i="2"/>
  <c r="M40" i="2"/>
  <c r="M39" i="2"/>
  <c r="L41" i="2"/>
  <c r="L42" i="2"/>
  <c r="L43" i="2"/>
  <c r="L31" i="2"/>
  <c r="L44" i="2"/>
  <c r="L9" i="2"/>
  <c r="L10" i="2"/>
  <c r="L11" i="2"/>
  <c r="L15" i="2"/>
  <c r="L12" i="2"/>
  <c r="L16" i="2"/>
  <c r="L17" i="2"/>
  <c r="L13" i="2"/>
  <c r="L14" i="2"/>
  <c r="L18" i="2"/>
  <c r="L19" i="2"/>
  <c r="L20" i="2"/>
  <c r="L25" i="2"/>
  <c r="L26" i="2"/>
  <c r="L34" i="2"/>
  <c r="L27" i="2"/>
  <c r="L28" i="2"/>
  <c r="L35" i="2"/>
  <c r="L29" i="2"/>
  <c r="L30" i="2"/>
  <c r="L58" i="2"/>
  <c r="L59" i="2"/>
  <c r="L23" i="2"/>
  <c r="L60" i="2"/>
  <c r="L24" i="2"/>
  <c r="L50" i="2"/>
  <c r="L51" i="2"/>
  <c r="L52" i="2"/>
  <c r="L21" i="2"/>
  <c r="L53" i="2"/>
  <c r="L54" i="2"/>
  <c r="L55" i="2"/>
  <c r="L45" i="2"/>
  <c r="L46" i="2"/>
  <c r="L47" i="2"/>
  <c r="L48" i="2"/>
  <c r="L49" i="2"/>
  <c r="L40" i="2"/>
  <c r="L39" i="2"/>
  <c r="K41" i="2"/>
  <c r="K42" i="2"/>
  <c r="K43" i="2"/>
  <c r="K31" i="2"/>
  <c r="K44" i="2"/>
  <c r="K9" i="2"/>
  <c r="K10" i="2"/>
  <c r="K11" i="2"/>
  <c r="K15" i="2"/>
  <c r="K12" i="2"/>
  <c r="K16" i="2"/>
  <c r="K17" i="2"/>
  <c r="K13" i="2"/>
  <c r="K14" i="2"/>
  <c r="K18" i="2"/>
  <c r="K19" i="2"/>
  <c r="K20" i="2"/>
  <c r="K25" i="2"/>
  <c r="K26" i="2"/>
  <c r="K34" i="2"/>
  <c r="K27" i="2"/>
  <c r="K28" i="2"/>
  <c r="K35" i="2"/>
  <c r="K29" i="2"/>
  <c r="K30" i="2"/>
  <c r="K58" i="2"/>
  <c r="K59" i="2"/>
  <c r="K23" i="2"/>
  <c r="K60" i="2"/>
  <c r="K24" i="2"/>
  <c r="K50" i="2"/>
  <c r="K51" i="2"/>
  <c r="K52" i="2"/>
  <c r="K21" i="2"/>
  <c r="K53" i="2"/>
  <c r="K54" i="2"/>
  <c r="K55" i="2"/>
  <c r="K45" i="2"/>
  <c r="K46" i="2"/>
  <c r="K47" i="2"/>
  <c r="K48" i="2"/>
  <c r="K49" i="2"/>
  <c r="K40" i="2"/>
  <c r="K39" i="2"/>
  <c r="J41" i="2"/>
  <c r="J42" i="2"/>
  <c r="J43" i="2"/>
  <c r="J31" i="2"/>
  <c r="J44" i="2"/>
  <c r="J9" i="2"/>
  <c r="J10" i="2"/>
  <c r="J11" i="2"/>
  <c r="J15" i="2"/>
  <c r="J12" i="2"/>
  <c r="J16" i="2"/>
  <c r="J17" i="2"/>
  <c r="J13" i="2"/>
  <c r="J14" i="2"/>
  <c r="J18" i="2"/>
  <c r="J19" i="2"/>
  <c r="J20" i="2"/>
  <c r="J25" i="2"/>
  <c r="J26" i="2"/>
  <c r="J34" i="2"/>
  <c r="J27" i="2"/>
  <c r="J28" i="2"/>
  <c r="J35" i="2"/>
  <c r="J29" i="2"/>
  <c r="J30" i="2"/>
  <c r="J58" i="2"/>
  <c r="J59" i="2"/>
  <c r="J23" i="2"/>
  <c r="J60" i="2"/>
  <c r="J24" i="2"/>
  <c r="J50" i="2"/>
  <c r="J51" i="2"/>
  <c r="J52" i="2"/>
  <c r="J21" i="2"/>
  <c r="J53" i="2"/>
  <c r="J54" i="2"/>
  <c r="J55" i="2"/>
  <c r="J45" i="2"/>
  <c r="J46" i="2"/>
  <c r="J47" i="2"/>
  <c r="J48" i="2"/>
  <c r="J49" i="2"/>
  <c r="J40" i="2"/>
  <c r="J39" i="2"/>
  <c r="I49" i="2"/>
  <c r="I48" i="2"/>
  <c r="I47" i="2"/>
  <c r="I46" i="2"/>
  <c r="I45" i="2"/>
  <c r="I55" i="2"/>
  <c r="I54" i="2"/>
  <c r="I53" i="2"/>
  <c r="I21" i="2"/>
  <c r="I52" i="2"/>
  <c r="I51" i="2"/>
  <c r="I50" i="2"/>
  <c r="I24" i="2"/>
  <c r="I60" i="2"/>
  <c r="I23" i="2"/>
  <c r="I59" i="2"/>
  <c r="I58" i="2"/>
  <c r="I30" i="2"/>
  <c r="I29" i="2"/>
  <c r="I35" i="2"/>
  <c r="I28" i="2"/>
  <c r="I27" i="2"/>
  <c r="I34" i="2"/>
  <c r="I26" i="2"/>
  <c r="I25" i="2"/>
  <c r="I20" i="2"/>
  <c r="I19" i="2"/>
  <c r="I18" i="2"/>
  <c r="I14" i="2"/>
  <c r="I13" i="2"/>
  <c r="I17" i="2"/>
  <c r="I16" i="2"/>
  <c r="I12" i="2"/>
  <c r="I15" i="2"/>
  <c r="I11" i="2"/>
  <c r="I10" i="2"/>
  <c r="I9" i="2"/>
  <c r="I44" i="2"/>
  <c r="I31" i="2"/>
  <c r="I43" i="2"/>
  <c r="I42" i="2"/>
  <c r="I41" i="2"/>
  <c r="I40" i="2"/>
  <c r="I39" i="2"/>
  <c r="H49" i="2"/>
  <c r="H48" i="2"/>
  <c r="H47" i="2"/>
  <c r="H46" i="2"/>
  <c r="H45" i="2"/>
  <c r="H55" i="2"/>
  <c r="H54" i="2"/>
  <c r="H53" i="2"/>
  <c r="H21" i="2"/>
  <c r="H52" i="2"/>
  <c r="H51" i="2"/>
  <c r="H50" i="2"/>
  <c r="H24" i="2"/>
  <c r="H60" i="2"/>
  <c r="H23" i="2"/>
  <c r="H59" i="2"/>
  <c r="H58" i="2"/>
  <c r="H30" i="2"/>
  <c r="H29" i="2"/>
  <c r="H35" i="2"/>
  <c r="H28" i="2"/>
  <c r="H27" i="2"/>
  <c r="H34" i="2"/>
  <c r="H26" i="2"/>
  <c r="H25" i="2"/>
  <c r="H20" i="2"/>
  <c r="H19" i="2"/>
  <c r="H18" i="2"/>
  <c r="H14" i="2"/>
  <c r="H13" i="2"/>
  <c r="H17" i="2"/>
  <c r="H16" i="2"/>
  <c r="H12" i="2"/>
  <c r="H15" i="2"/>
  <c r="H11" i="2"/>
  <c r="H10" i="2"/>
  <c r="H9" i="2"/>
  <c r="H44" i="2"/>
  <c r="H31" i="2"/>
  <c r="H43" i="2"/>
  <c r="H42" i="2"/>
  <c r="H41" i="2"/>
  <c r="H40" i="2"/>
  <c r="H39" i="2"/>
  <c r="F49" i="2"/>
  <c r="F48" i="2"/>
  <c r="F47" i="2"/>
  <c r="F46" i="2"/>
  <c r="F45" i="2"/>
  <c r="F55" i="2"/>
  <c r="F54" i="2"/>
  <c r="F53" i="2"/>
  <c r="F21" i="2"/>
  <c r="F59" i="2"/>
  <c r="F58" i="2"/>
  <c r="F30" i="2"/>
  <c r="F29" i="2"/>
  <c r="F35" i="2"/>
  <c r="F28" i="2"/>
  <c r="F27" i="2"/>
  <c r="F34" i="2"/>
  <c r="F26" i="2"/>
  <c r="F25" i="2"/>
  <c r="F20" i="2"/>
  <c r="F19" i="2"/>
  <c r="F14" i="2"/>
  <c r="F13" i="2"/>
  <c r="F17" i="2"/>
  <c r="F16" i="2"/>
  <c r="F12" i="2"/>
  <c r="F15" i="2"/>
  <c r="F11" i="2"/>
  <c r="F10" i="2"/>
  <c r="F9" i="2"/>
  <c r="F44" i="2"/>
  <c r="F31" i="2"/>
  <c r="F43" i="2"/>
  <c r="F42" i="2"/>
  <c r="F41" i="2"/>
  <c r="F40" i="2"/>
  <c r="F39" i="2"/>
  <c r="BO47" i="3"/>
  <c r="BN47" i="3"/>
  <c r="BM47" i="3"/>
  <c r="BL47" i="3"/>
  <c r="BK47" i="3"/>
  <c r="BJ47" i="3"/>
  <c r="BI47" i="3"/>
  <c r="BH47" i="3"/>
  <c r="BG47" i="3"/>
  <c r="BE47" i="3"/>
  <c r="BD47" i="3"/>
  <c r="BF47" i="3" s="1"/>
  <c r="BC47" i="3"/>
  <c r="BB47" i="3"/>
  <c r="BA47" i="3"/>
  <c r="BO46" i="3"/>
  <c r="BN46" i="3"/>
  <c r="BM46" i="3"/>
  <c r="BL46" i="3"/>
  <c r="BK46" i="3"/>
  <c r="BJ46" i="3"/>
  <c r="BI46" i="3"/>
  <c r="BH46" i="3"/>
  <c r="BG46" i="3"/>
  <c r="BE46" i="3"/>
  <c r="BD46" i="3"/>
  <c r="BC46" i="3"/>
  <c r="BB46" i="3"/>
  <c r="BA46" i="3"/>
  <c r="BO45" i="3"/>
  <c r="BN45" i="3"/>
  <c r="BM45" i="3"/>
  <c r="BL45" i="3"/>
  <c r="BK45" i="3"/>
  <c r="BJ45" i="3"/>
  <c r="BI45" i="3"/>
  <c r="BH45" i="3"/>
  <c r="BG45" i="3"/>
  <c r="BE45" i="3"/>
  <c r="BD45" i="3"/>
  <c r="BC45" i="3"/>
  <c r="BB45" i="3"/>
  <c r="BA45" i="3"/>
  <c r="BO44" i="3"/>
  <c r="BN44" i="3"/>
  <c r="BM44" i="3"/>
  <c r="BL44" i="3"/>
  <c r="BK44" i="3"/>
  <c r="BJ44" i="3"/>
  <c r="BI44" i="3"/>
  <c r="BH44" i="3"/>
  <c r="BG44" i="3"/>
  <c r="BE44" i="3"/>
  <c r="BD44" i="3"/>
  <c r="BC44" i="3"/>
  <c r="BB44" i="3"/>
  <c r="BA44" i="3"/>
  <c r="BO43" i="3"/>
  <c r="BN43" i="3"/>
  <c r="BM43" i="3"/>
  <c r="BL43" i="3"/>
  <c r="BK43" i="3"/>
  <c r="BJ43" i="3"/>
  <c r="BI43" i="3"/>
  <c r="BH43" i="3"/>
  <c r="BG43" i="3"/>
  <c r="BE43" i="3"/>
  <c r="BD43" i="3"/>
  <c r="BF43" i="3" s="1"/>
  <c r="BC43" i="3"/>
  <c r="BB43" i="3"/>
  <c r="BA43" i="3"/>
  <c r="BO53" i="3"/>
  <c r="BN53" i="3"/>
  <c r="BM53" i="3"/>
  <c r="BL53" i="3"/>
  <c r="BK53" i="3"/>
  <c r="BJ53" i="3"/>
  <c r="BI53" i="3"/>
  <c r="BH53" i="3"/>
  <c r="BG53" i="3"/>
  <c r="BE53" i="3"/>
  <c r="BD53" i="3"/>
  <c r="BC53" i="3"/>
  <c r="BB53" i="3"/>
  <c r="BA53" i="3"/>
  <c r="BO52" i="3"/>
  <c r="BN52" i="3"/>
  <c r="BM52" i="3"/>
  <c r="BL52" i="3"/>
  <c r="BK52" i="3"/>
  <c r="BJ52" i="3"/>
  <c r="BI52" i="3"/>
  <c r="BH52" i="3"/>
  <c r="BG52" i="3"/>
  <c r="BE52" i="3"/>
  <c r="BD52" i="3"/>
  <c r="BC52" i="3"/>
  <c r="BB52" i="3"/>
  <c r="BA52" i="3"/>
  <c r="BO51" i="3"/>
  <c r="BN51" i="3"/>
  <c r="BM51" i="3"/>
  <c r="BL51" i="3"/>
  <c r="BK51" i="3"/>
  <c r="BJ51" i="3"/>
  <c r="BI51" i="3"/>
  <c r="BH51" i="3"/>
  <c r="BG51" i="3"/>
  <c r="BE51" i="3"/>
  <c r="BD51" i="3"/>
  <c r="BC51" i="3"/>
  <c r="BB51" i="3"/>
  <c r="BA51" i="3"/>
  <c r="BO19" i="3"/>
  <c r="BN19" i="3"/>
  <c r="BM19" i="3"/>
  <c r="BL19" i="3"/>
  <c r="BK19" i="3"/>
  <c r="BJ19" i="3"/>
  <c r="BI19" i="3"/>
  <c r="BH19" i="3"/>
  <c r="BG19" i="3"/>
  <c r="BE19" i="3"/>
  <c r="BD19" i="3"/>
  <c r="BC19" i="3"/>
  <c r="BB19" i="3"/>
  <c r="BA19" i="3"/>
  <c r="BO50" i="3"/>
  <c r="BN50" i="3"/>
  <c r="BM50" i="3"/>
  <c r="BL50" i="3"/>
  <c r="BK50" i="3"/>
  <c r="BJ50" i="3"/>
  <c r="BI50" i="3"/>
  <c r="BH50" i="3"/>
  <c r="BG50" i="3"/>
  <c r="BE50" i="3"/>
  <c r="BD50" i="3"/>
  <c r="BC50" i="3"/>
  <c r="BB50" i="3"/>
  <c r="BA50" i="3"/>
  <c r="BO49" i="3"/>
  <c r="BN49" i="3"/>
  <c r="BM49" i="3"/>
  <c r="BL49" i="3"/>
  <c r="BK49" i="3"/>
  <c r="BJ49" i="3"/>
  <c r="BI49" i="3"/>
  <c r="BH49" i="3"/>
  <c r="BG49" i="3"/>
  <c r="BE49" i="3"/>
  <c r="BD49" i="3"/>
  <c r="BC49" i="3"/>
  <c r="BB49" i="3"/>
  <c r="BA49" i="3"/>
  <c r="BO48" i="3"/>
  <c r="BN48" i="3"/>
  <c r="BM48" i="3"/>
  <c r="BL48" i="3"/>
  <c r="BK48" i="3"/>
  <c r="BJ48" i="3"/>
  <c r="BI48" i="3"/>
  <c r="BH48" i="3"/>
  <c r="BG48" i="3"/>
  <c r="BE48" i="3"/>
  <c r="BD48" i="3"/>
  <c r="BC48" i="3"/>
  <c r="BB48" i="3"/>
  <c r="BA48" i="3"/>
  <c r="BO22" i="3"/>
  <c r="BN22" i="3"/>
  <c r="BM22" i="3"/>
  <c r="BL22" i="3"/>
  <c r="BK22" i="3"/>
  <c r="BJ22" i="3"/>
  <c r="BI22" i="3"/>
  <c r="BH22" i="3"/>
  <c r="BG22" i="3"/>
  <c r="BE22" i="3"/>
  <c r="BD22" i="3"/>
  <c r="BF22" i="3" s="1"/>
  <c r="BC22" i="3"/>
  <c r="BB22" i="3"/>
  <c r="BA22" i="3"/>
  <c r="BO58" i="3"/>
  <c r="BN58" i="3"/>
  <c r="BM58" i="3"/>
  <c r="BL58" i="3"/>
  <c r="BK58" i="3"/>
  <c r="BJ58" i="3"/>
  <c r="BI58" i="3"/>
  <c r="BH58" i="3"/>
  <c r="BG58" i="3"/>
  <c r="BE58" i="3"/>
  <c r="BD58" i="3"/>
  <c r="BC58" i="3"/>
  <c r="BB58" i="3"/>
  <c r="BA58" i="3"/>
  <c r="BO21" i="3"/>
  <c r="BN21" i="3"/>
  <c r="BM21" i="3"/>
  <c r="BL21" i="3"/>
  <c r="BK21" i="3"/>
  <c r="BJ21" i="3"/>
  <c r="BI21" i="3"/>
  <c r="BH21" i="3"/>
  <c r="BG21" i="3"/>
  <c r="BE21" i="3"/>
  <c r="BD21" i="3"/>
  <c r="BC21" i="3"/>
  <c r="BB21" i="3"/>
  <c r="BA21" i="3"/>
  <c r="BO57" i="3"/>
  <c r="BN57" i="3"/>
  <c r="BM57" i="3"/>
  <c r="BL57" i="3"/>
  <c r="BK57" i="3"/>
  <c r="BJ57" i="3"/>
  <c r="BI57" i="3"/>
  <c r="BH57" i="3"/>
  <c r="BG57" i="3"/>
  <c r="BE57" i="3"/>
  <c r="BD57" i="3"/>
  <c r="BF57" i="3" s="1"/>
  <c r="BC57" i="3"/>
  <c r="BB57" i="3"/>
  <c r="BA57" i="3"/>
  <c r="BO56" i="3"/>
  <c r="BN56" i="3"/>
  <c r="BM56" i="3"/>
  <c r="BL56" i="3"/>
  <c r="BK56" i="3"/>
  <c r="BJ56" i="3"/>
  <c r="BI56" i="3"/>
  <c r="BH56" i="3"/>
  <c r="BG56" i="3"/>
  <c r="BE56" i="3"/>
  <c r="BD56" i="3"/>
  <c r="BC56" i="3"/>
  <c r="BB56" i="3"/>
  <c r="BA56" i="3"/>
  <c r="BO28" i="3"/>
  <c r="BN28" i="3"/>
  <c r="BM28" i="3"/>
  <c r="BL28" i="3"/>
  <c r="BK28" i="3"/>
  <c r="BJ28" i="3"/>
  <c r="BI28" i="3"/>
  <c r="BH28" i="3"/>
  <c r="BG28" i="3"/>
  <c r="BE28" i="3"/>
  <c r="BD28" i="3"/>
  <c r="BF28" i="3" s="1"/>
  <c r="BC28" i="3"/>
  <c r="BB28" i="3"/>
  <c r="BA28" i="3"/>
  <c r="BO27" i="3"/>
  <c r="BN27" i="3"/>
  <c r="BM27" i="3"/>
  <c r="BL27" i="3"/>
  <c r="BK27" i="3"/>
  <c r="BJ27" i="3"/>
  <c r="BI27" i="3"/>
  <c r="BH27" i="3"/>
  <c r="BG27" i="3"/>
  <c r="BE27" i="3"/>
  <c r="BD27" i="3"/>
  <c r="BF27" i="3" s="1"/>
  <c r="BC27" i="3"/>
  <c r="BB27" i="3"/>
  <c r="BA27" i="3"/>
  <c r="BO33" i="3"/>
  <c r="BN33" i="3"/>
  <c r="BM33" i="3"/>
  <c r="BL33" i="3"/>
  <c r="BK33" i="3"/>
  <c r="BJ33" i="3"/>
  <c r="BI33" i="3"/>
  <c r="BH33" i="3"/>
  <c r="BG33" i="3"/>
  <c r="BE33" i="3"/>
  <c r="BD33" i="3"/>
  <c r="BC33" i="3"/>
  <c r="BB33" i="3"/>
  <c r="BA33" i="3"/>
  <c r="BO26" i="3"/>
  <c r="BN26" i="3"/>
  <c r="BM26" i="3"/>
  <c r="BL26" i="3"/>
  <c r="BK26" i="3"/>
  <c r="BJ26" i="3"/>
  <c r="BI26" i="3"/>
  <c r="BH26" i="3"/>
  <c r="BG26" i="3"/>
  <c r="BE26" i="3"/>
  <c r="BD26" i="3"/>
  <c r="BC26" i="3"/>
  <c r="BB26" i="3"/>
  <c r="BA26" i="3"/>
  <c r="BO25" i="3"/>
  <c r="BN25" i="3"/>
  <c r="BM25" i="3"/>
  <c r="BL25" i="3"/>
  <c r="BK25" i="3"/>
  <c r="BJ25" i="3"/>
  <c r="BI25" i="3"/>
  <c r="BH25" i="3"/>
  <c r="BG25" i="3"/>
  <c r="BE25" i="3"/>
  <c r="BD25" i="3"/>
  <c r="BC25" i="3"/>
  <c r="BB25" i="3"/>
  <c r="BA25" i="3"/>
  <c r="BO32" i="3"/>
  <c r="BN32" i="3"/>
  <c r="BM32" i="3"/>
  <c r="BL32" i="3"/>
  <c r="BK32" i="3"/>
  <c r="BJ32" i="3"/>
  <c r="BI32" i="3"/>
  <c r="BH32" i="3"/>
  <c r="BG32" i="3"/>
  <c r="BE32" i="3"/>
  <c r="BD32" i="3"/>
  <c r="BC32" i="3"/>
  <c r="BB32" i="3"/>
  <c r="BA32" i="3"/>
  <c r="BO24" i="3"/>
  <c r="BN24" i="3"/>
  <c r="BM24" i="3"/>
  <c r="BL24" i="3"/>
  <c r="BK24" i="3"/>
  <c r="BJ24" i="3"/>
  <c r="BI24" i="3"/>
  <c r="BH24" i="3"/>
  <c r="BG24" i="3"/>
  <c r="BE24" i="3"/>
  <c r="BD24" i="3"/>
  <c r="BF24" i="3" s="1"/>
  <c r="BC24" i="3"/>
  <c r="BB24" i="3"/>
  <c r="BA24" i="3"/>
  <c r="BO23" i="3"/>
  <c r="BN23" i="3"/>
  <c r="BM23" i="3"/>
  <c r="BL23" i="3"/>
  <c r="BK23" i="3"/>
  <c r="BJ23" i="3"/>
  <c r="BI23" i="3"/>
  <c r="BH23" i="3"/>
  <c r="BG23" i="3"/>
  <c r="BE23" i="3"/>
  <c r="BD23" i="3"/>
  <c r="BC23" i="3"/>
  <c r="BB23" i="3"/>
  <c r="BA23" i="3"/>
  <c r="BO18" i="3"/>
  <c r="BN18" i="3"/>
  <c r="BM18" i="3"/>
  <c r="BL18" i="3"/>
  <c r="BK18" i="3"/>
  <c r="BJ18" i="3"/>
  <c r="BI18" i="3"/>
  <c r="BH18" i="3"/>
  <c r="BG18" i="3"/>
  <c r="BE18" i="3"/>
  <c r="BD18" i="3"/>
  <c r="BC18" i="3"/>
  <c r="BB18" i="3"/>
  <c r="BA18" i="3"/>
  <c r="BO17" i="3"/>
  <c r="BN17" i="3"/>
  <c r="BM17" i="3"/>
  <c r="BL17" i="3"/>
  <c r="BK17" i="3"/>
  <c r="BJ17" i="3"/>
  <c r="BI17" i="3"/>
  <c r="BH17" i="3"/>
  <c r="BG17" i="3"/>
  <c r="BE17" i="3"/>
  <c r="BD17" i="3"/>
  <c r="BF17" i="3" s="1"/>
  <c r="BC17" i="3"/>
  <c r="BB17" i="3"/>
  <c r="BA17" i="3"/>
  <c r="BO16" i="3"/>
  <c r="BN16" i="3"/>
  <c r="BM16" i="3"/>
  <c r="BL16" i="3"/>
  <c r="BK16" i="3"/>
  <c r="BJ16" i="3"/>
  <c r="BI16" i="3"/>
  <c r="BH16" i="3"/>
  <c r="BG16" i="3"/>
  <c r="BE16" i="3"/>
  <c r="BD16" i="3"/>
  <c r="BF16" i="3" s="1"/>
  <c r="BC16" i="3"/>
  <c r="BB16" i="3"/>
  <c r="BA16" i="3"/>
  <c r="BO12" i="3"/>
  <c r="BN12" i="3"/>
  <c r="BM12" i="3"/>
  <c r="BL12" i="3"/>
  <c r="BK12" i="3"/>
  <c r="BJ12" i="3"/>
  <c r="BI12" i="3"/>
  <c r="BH12" i="3"/>
  <c r="BG12" i="3"/>
  <c r="BE12" i="3"/>
  <c r="BD12" i="3"/>
  <c r="BC12" i="3"/>
  <c r="BB12" i="3"/>
  <c r="BA12" i="3"/>
  <c r="BO11" i="3"/>
  <c r="BN11" i="3"/>
  <c r="BM11" i="3"/>
  <c r="BL11" i="3"/>
  <c r="BK11" i="3"/>
  <c r="BJ11" i="3"/>
  <c r="BI11" i="3"/>
  <c r="BH11" i="3"/>
  <c r="BG11" i="3"/>
  <c r="BE11" i="3"/>
  <c r="BD11" i="3"/>
  <c r="BC11" i="3"/>
  <c r="BB11" i="3"/>
  <c r="BA11" i="3"/>
  <c r="BO15" i="3"/>
  <c r="BN15" i="3"/>
  <c r="BM15" i="3"/>
  <c r="BL15" i="3"/>
  <c r="BK15" i="3"/>
  <c r="BJ15" i="3"/>
  <c r="BI15" i="3"/>
  <c r="BH15" i="3"/>
  <c r="BG15" i="3"/>
  <c r="BE15" i="3"/>
  <c r="BD15" i="3"/>
  <c r="BC15" i="3"/>
  <c r="BB15" i="3"/>
  <c r="BA15" i="3"/>
  <c r="BO14" i="3"/>
  <c r="BN14" i="3"/>
  <c r="BM14" i="3"/>
  <c r="BL14" i="3"/>
  <c r="BK14" i="3"/>
  <c r="BJ14" i="3"/>
  <c r="BI14" i="3"/>
  <c r="BH14" i="3"/>
  <c r="BG14" i="3"/>
  <c r="BE14" i="3"/>
  <c r="BD14" i="3"/>
  <c r="BC14" i="3"/>
  <c r="BB14" i="3"/>
  <c r="BA14" i="3"/>
  <c r="BO10" i="3"/>
  <c r="BN10" i="3"/>
  <c r="BM10" i="3"/>
  <c r="BL10" i="3"/>
  <c r="BK10" i="3"/>
  <c r="BJ10" i="3"/>
  <c r="BI10" i="3"/>
  <c r="BH10" i="3"/>
  <c r="BG10" i="3"/>
  <c r="BE10" i="3"/>
  <c r="BD10" i="3"/>
  <c r="BC10" i="3"/>
  <c r="BB10" i="3"/>
  <c r="BA10" i="3"/>
  <c r="BO13" i="3"/>
  <c r="BN13" i="3"/>
  <c r="BM13" i="3"/>
  <c r="BL13" i="3"/>
  <c r="BK13" i="3"/>
  <c r="BJ13" i="3"/>
  <c r="BI13" i="3"/>
  <c r="BH13" i="3"/>
  <c r="BG13" i="3"/>
  <c r="BE13" i="3"/>
  <c r="BD13" i="3"/>
  <c r="BC13" i="3"/>
  <c r="BB13" i="3"/>
  <c r="BA13" i="3"/>
  <c r="BO9" i="3"/>
  <c r="BN9" i="3"/>
  <c r="BM9" i="3"/>
  <c r="BL9" i="3"/>
  <c r="BK9" i="3"/>
  <c r="BJ9" i="3"/>
  <c r="BI9" i="3"/>
  <c r="BH9" i="3"/>
  <c r="BG9" i="3"/>
  <c r="BE9" i="3"/>
  <c r="BD9" i="3"/>
  <c r="BC9" i="3"/>
  <c r="BB9" i="3"/>
  <c r="BA9" i="3"/>
  <c r="BO8" i="3"/>
  <c r="BN8" i="3"/>
  <c r="BM8" i="3"/>
  <c r="BL8" i="3"/>
  <c r="BK8" i="3"/>
  <c r="BJ8" i="3"/>
  <c r="BI8" i="3"/>
  <c r="BH8" i="3"/>
  <c r="BG8" i="3"/>
  <c r="BE8" i="3"/>
  <c r="BD8" i="3"/>
  <c r="BC8" i="3"/>
  <c r="BB8" i="3"/>
  <c r="BA8" i="3"/>
  <c r="BO7" i="3"/>
  <c r="BN7" i="3"/>
  <c r="BM7" i="3"/>
  <c r="BL7" i="3"/>
  <c r="BK7" i="3"/>
  <c r="BJ7" i="3"/>
  <c r="BI7" i="3"/>
  <c r="BH7" i="3"/>
  <c r="BG7" i="3"/>
  <c r="BE7" i="3"/>
  <c r="BD7" i="3"/>
  <c r="BC7" i="3"/>
  <c r="BB7" i="3"/>
  <c r="BA7" i="3"/>
  <c r="BO42" i="3"/>
  <c r="BN42" i="3"/>
  <c r="BM42" i="3"/>
  <c r="BL42" i="3"/>
  <c r="BK42" i="3"/>
  <c r="BJ42" i="3"/>
  <c r="BI42" i="3"/>
  <c r="BH42" i="3"/>
  <c r="BG42" i="3"/>
  <c r="BE42" i="3"/>
  <c r="BD42" i="3"/>
  <c r="BF42" i="3" s="1"/>
  <c r="BC42" i="3"/>
  <c r="BB42" i="3"/>
  <c r="BA42" i="3"/>
  <c r="BO29" i="3"/>
  <c r="BN29" i="3"/>
  <c r="BM29" i="3"/>
  <c r="BL29" i="3"/>
  <c r="BK29" i="3"/>
  <c r="BJ29" i="3"/>
  <c r="BI29" i="3"/>
  <c r="BH29" i="3"/>
  <c r="BG29" i="3"/>
  <c r="BE29" i="3"/>
  <c r="BD29" i="3"/>
  <c r="BF29" i="3" s="1"/>
  <c r="BC29" i="3"/>
  <c r="BB29" i="3"/>
  <c r="BA29" i="3"/>
  <c r="BO41" i="3"/>
  <c r="BN41" i="3"/>
  <c r="BM41" i="3"/>
  <c r="BL41" i="3"/>
  <c r="BK41" i="3"/>
  <c r="BJ41" i="3"/>
  <c r="BI41" i="3"/>
  <c r="BH41" i="3"/>
  <c r="BG41" i="3"/>
  <c r="BE41" i="3"/>
  <c r="BD41" i="3"/>
  <c r="BF41" i="3" s="1"/>
  <c r="BC41" i="3"/>
  <c r="BB41" i="3"/>
  <c r="BA41" i="3"/>
  <c r="BO40" i="3"/>
  <c r="BN40" i="3"/>
  <c r="BM40" i="3"/>
  <c r="BL40" i="3"/>
  <c r="BK40" i="3"/>
  <c r="BJ40" i="3"/>
  <c r="BI40" i="3"/>
  <c r="BH40" i="3"/>
  <c r="BG40" i="3"/>
  <c r="BE40" i="3"/>
  <c r="BD40" i="3"/>
  <c r="BC40" i="3"/>
  <c r="BB40" i="3"/>
  <c r="BA40" i="3"/>
  <c r="BO39" i="3"/>
  <c r="BN39" i="3"/>
  <c r="BM39" i="3"/>
  <c r="BL39" i="3"/>
  <c r="BK39" i="3"/>
  <c r="BJ39" i="3"/>
  <c r="BI39" i="3"/>
  <c r="BH39" i="3"/>
  <c r="BG39" i="3"/>
  <c r="BE39" i="3"/>
  <c r="BD39" i="3"/>
  <c r="BF39" i="3" s="1"/>
  <c r="BC39" i="3"/>
  <c r="BB39" i="3"/>
  <c r="BA39" i="3"/>
  <c r="BO38" i="3"/>
  <c r="BN38" i="3"/>
  <c r="BM38" i="3"/>
  <c r="BL38" i="3"/>
  <c r="BK38" i="3"/>
  <c r="BJ38" i="3"/>
  <c r="BI38" i="3"/>
  <c r="BH38" i="3"/>
  <c r="BG38" i="3"/>
  <c r="BE38" i="3"/>
  <c r="BD38" i="3"/>
  <c r="BF38" i="3" s="1"/>
  <c r="BC38" i="3"/>
  <c r="BB38" i="3"/>
  <c r="BA38" i="3"/>
  <c r="BO37" i="3"/>
  <c r="BN37" i="3"/>
  <c r="BM37" i="3"/>
  <c r="BL37" i="3"/>
  <c r="BK37" i="3"/>
  <c r="BJ37" i="3"/>
  <c r="BI37" i="3"/>
  <c r="BH37" i="3"/>
  <c r="BG37" i="3"/>
  <c r="BE37" i="3"/>
  <c r="BD37" i="3"/>
  <c r="BF37" i="3" s="1"/>
  <c r="BC37" i="3"/>
  <c r="BB37" i="3"/>
  <c r="BA37" i="3"/>
  <c r="AO38" i="3"/>
  <c r="AO39" i="3"/>
  <c r="AO40" i="3"/>
  <c r="AO41" i="3"/>
  <c r="AO29" i="3"/>
  <c r="AO42" i="3"/>
  <c r="AO7" i="3"/>
  <c r="AO8" i="3"/>
  <c r="AO9" i="3"/>
  <c r="AO13" i="3"/>
  <c r="AO10" i="3"/>
  <c r="AO14" i="3"/>
  <c r="AO15" i="3"/>
  <c r="AO11" i="3"/>
  <c r="AO12" i="3"/>
  <c r="AO16" i="3"/>
  <c r="AO17" i="3"/>
  <c r="AO18" i="3"/>
  <c r="AO23" i="3"/>
  <c r="AO24" i="3"/>
  <c r="AO32" i="3"/>
  <c r="AO25" i="3"/>
  <c r="AO26" i="3"/>
  <c r="AO33" i="3"/>
  <c r="AO27" i="3"/>
  <c r="AO28" i="3"/>
  <c r="AO56" i="3"/>
  <c r="AO57" i="3"/>
  <c r="AO21" i="3"/>
  <c r="AO58" i="3"/>
  <c r="AO22" i="3"/>
  <c r="AO48" i="3"/>
  <c r="AO49" i="3"/>
  <c r="AO50" i="3"/>
  <c r="AO19" i="3"/>
  <c r="AO51" i="3"/>
  <c r="AO52" i="3"/>
  <c r="AO53" i="3"/>
  <c r="AO43" i="3"/>
  <c r="AO44" i="3"/>
  <c r="AO45" i="3"/>
  <c r="AO46" i="3"/>
  <c r="AO47" i="3"/>
  <c r="AO37" i="3"/>
  <c r="AN38" i="3"/>
  <c r="AP38" i="3" s="1"/>
  <c r="AN39" i="3"/>
  <c r="AP39" i="3" s="1"/>
  <c r="AN40" i="3"/>
  <c r="AN41" i="3"/>
  <c r="AN29" i="3"/>
  <c r="AN42" i="3"/>
  <c r="AP42" i="3" s="1"/>
  <c r="AN7" i="3"/>
  <c r="AN8" i="3"/>
  <c r="AN9" i="3"/>
  <c r="AN13" i="3"/>
  <c r="AN10" i="3"/>
  <c r="AN14" i="3"/>
  <c r="AN15" i="3"/>
  <c r="AN11" i="3"/>
  <c r="AN12" i="3"/>
  <c r="AN16" i="3"/>
  <c r="AN17" i="3"/>
  <c r="AN18" i="3"/>
  <c r="AN23" i="3"/>
  <c r="AN24" i="3"/>
  <c r="AP24" i="3" s="1"/>
  <c r="AN32" i="3"/>
  <c r="AN25" i="3"/>
  <c r="AN26" i="3"/>
  <c r="AN33" i="3"/>
  <c r="AN27" i="3"/>
  <c r="AN28" i="3"/>
  <c r="AP28" i="3" s="1"/>
  <c r="AN56" i="3"/>
  <c r="AN57" i="3"/>
  <c r="AN21" i="3"/>
  <c r="AN58" i="3"/>
  <c r="AN22" i="3"/>
  <c r="AP22" i="3" s="1"/>
  <c r="AN48" i="3"/>
  <c r="AN49" i="3"/>
  <c r="AN50" i="3"/>
  <c r="AN19" i="3"/>
  <c r="AN51" i="3"/>
  <c r="AN52" i="3"/>
  <c r="AN53" i="3"/>
  <c r="AN43" i="3"/>
  <c r="AN44" i="3"/>
  <c r="AN45" i="3"/>
  <c r="AN46" i="3"/>
  <c r="AN47" i="3"/>
  <c r="AP47" i="3" s="1"/>
  <c r="AN37" i="3"/>
  <c r="AQ11" i="3"/>
  <c r="AK38" i="3"/>
  <c r="AL38" i="3"/>
  <c r="AM38" i="3"/>
  <c r="AQ38" i="3"/>
  <c r="AR38" i="3"/>
  <c r="AS38" i="3"/>
  <c r="AT38" i="3"/>
  <c r="AU38" i="3"/>
  <c r="AK39" i="3"/>
  <c r="AL39" i="3"/>
  <c r="AM39" i="3"/>
  <c r="AQ39" i="3"/>
  <c r="AR39" i="3"/>
  <c r="AS39" i="3"/>
  <c r="AT39" i="3"/>
  <c r="AU39" i="3"/>
  <c r="AK40" i="3"/>
  <c r="AL40" i="3"/>
  <c r="AM40" i="3"/>
  <c r="AQ40" i="3"/>
  <c r="AR40" i="3"/>
  <c r="AS40" i="3"/>
  <c r="AT40" i="3"/>
  <c r="AU40" i="3"/>
  <c r="AK41" i="3"/>
  <c r="AL41" i="3"/>
  <c r="AM41" i="3"/>
  <c r="AQ41" i="3"/>
  <c r="AR41" i="3"/>
  <c r="AS41" i="3"/>
  <c r="AT41" i="3"/>
  <c r="AU41" i="3"/>
  <c r="AK29" i="3"/>
  <c r="AL29" i="3"/>
  <c r="AM29" i="3"/>
  <c r="AQ29" i="3"/>
  <c r="AR29" i="3"/>
  <c r="AS29" i="3"/>
  <c r="AT29" i="3"/>
  <c r="AU29" i="3"/>
  <c r="AK42" i="3"/>
  <c r="AL42" i="3"/>
  <c r="AM42" i="3"/>
  <c r="AQ42" i="3"/>
  <c r="AR42" i="3"/>
  <c r="AS42" i="3"/>
  <c r="AT42" i="3"/>
  <c r="AU42" i="3"/>
  <c r="AK7" i="3"/>
  <c r="AL7" i="3"/>
  <c r="AM7" i="3"/>
  <c r="AQ7" i="3"/>
  <c r="AR7" i="3"/>
  <c r="AS7" i="3"/>
  <c r="AT7" i="3"/>
  <c r="AU7" i="3"/>
  <c r="AK8" i="3"/>
  <c r="AL8" i="3"/>
  <c r="AM8" i="3"/>
  <c r="AQ8" i="3"/>
  <c r="AR8" i="3"/>
  <c r="AS8" i="3"/>
  <c r="AT8" i="3"/>
  <c r="AU8" i="3"/>
  <c r="AK9" i="3"/>
  <c r="AL9" i="3"/>
  <c r="AM9" i="3"/>
  <c r="AQ9" i="3"/>
  <c r="AR9" i="3"/>
  <c r="AS9" i="3"/>
  <c r="AT9" i="3"/>
  <c r="AU9" i="3"/>
  <c r="AK13" i="3"/>
  <c r="AL13" i="3"/>
  <c r="AM13" i="3"/>
  <c r="AQ13" i="3"/>
  <c r="AR13" i="3"/>
  <c r="AS13" i="3"/>
  <c r="AT13" i="3"/>
  <c r="AU13" i="3"/>
  <c r="AK10" i="3"/>
  <c r="AL10" i="3"/>
  <c r="AM10" i="3"/>
  <c r="AQ10" i="3"/>
  <c r="AR10" i="3"/>
  <c r="AS10" i="3"/>
  <c r="AT10" i="3"/>
  <c r="AU10" i="3"/>
  <c r="AK14" i="3"/>
  <c r="AL14" i="3"/>
  <c r="AM14" i="3"/>
  <c r="AQ14" i="3"/>
  <c r="AR14" i="3"/>
  <c r="AS14" i="3"/>
  <c r="AT14" i="3"/>
  <c r="AU14" i="3"/>
  <c r="AK15" i="3"/>
  <c r="AL15" i="3"/>
  <c r="AM15" i="3"/>
  <c r="AQ15" i="3"/>
  <c r="AR15" i="3"/>
  <c r="AS15" i="3"/>
  <c r="AT15" i="3"/>
  <c r="AU15" i="3"/>
  <c r="AK11" i="3"/>
  <c r="AL11" i="3"/>
  <c r="AM11" i="3"/>
  <c r="AR11" i="3"/>
  <c r="AS11" i="3"/>
  <c r="AT11" i="3"/>
  <c r="AU11" i="3"/>
  <c r="AK12" i="3"/>
  <c r="AL12" i="3"/>
  <c r="AM12" i="3"/>
  <c r="AQ12" i="3"/>
  <c r="AR12" i="3"/>
  <c r="AS12" i="3"/>
  <c r="AT12" i="3"/>
  <c r="AU12" i="3"/>
  <c r="AK16" i="3"/>
  <c r="AL16" i="3"/>
  <c r="AM16" i="3"/>
  <c r="AQ16" i="3"/>
  <c r="AR16" i="3"/>
  <c r="AS16" i="3"/>
  <c r="AT16" i="3"/>
  <c r="AU16" i="3"/>
  <c r="AK17" i="3"/>
  <c r="AL17" i="3"/>
  <c r="AM17" i="3"/>
  <c r="AQ17" i="3"/>
  <c r="AR17" i="3"/>
  <c r="AS17" i="3"/>
  <c r="AT17" i="3"/>
  <c r="AU17" i="3"/>
  <c r="AK18" i="3"/>
  <c r="AL18" i="3"/>
  <c r="AM18" i="3"/>
  <c r="AQ18" i="3"/>
  <c r="AR18" i="3"/>
  <c r="AS18" i="3"/>
  <c r="AT18" i="3"/>
  <c r="AU18" i="3"/>
  <c r="AK23" i="3"/>
  <c r="AL23" i="3"/>
  <c r="AM23" i="3"/>
  <c r="AQ23" i="3"/>
  <c r="AR23" i="3"/>
  <c r="AS23" i="3"/>
  <c r="AT23" i="3"/>
  <c r="AU23" i="3"/>
  <c r="AK24" i="3"/>
  <c r="AL24" i="3"/>
  <c r="AM24" i="3"/>
  <c r="AQ24" i="3"/>
  <c r="AR24" i="3"/>
  <c r="AS24" i="3"/>
  <c r="AT24" i="3"/>
  <c r="AU24" i="3"/>
  <c r="AK32" i="3"/>
  <c r="AL32" i="3"/>
  <c r="AM32" i="3"/>
  <c r="AQ32" i="3"/>
  <c r="AR32" i="3"/>
  <c r="AS32" i="3"/>
  <c r="AT32" i="3"/>
  <c r="AU32" i="3"/>
  <c r="AK25" i="3"/>
  <c r="AL25" i="3"/>
  <c r="AM25" i="3"/>
  <c r="AQ25" i="3"/>
  <c r="AR25" i="3"/>
  <c r="AS25" i="3"/>
  <c r="AT25" i="3"/>
  <c r="AU25" i="3"/>
  <c r="AK26" i="3"/>
  <c r="AL26" i="3"/>
  <c r="AM26" i="3"/>
  <c r="AQ26" i="3"/>
  <c r="AR26" i="3"/>
  <c r="AS26" i="3"/>
  <c r="AT26" i="3"/>
  <c r="AU26" i="3"/>
  <c r="AK33" i="3"/>
  <c r="AL33" i="3"/>
  <c r="AM33" i="3"/>
  <c r="AQ33" i="3"/>
  <c r="AR33" i="3"/>
  <c r="AS33" i="3"/>
  <c r="AT33" i="3"/>
  <c r="AU33" i="3"/>
  <c r="AK27" i="3"/>
  <c r="AL27" i="3"/>
  <c r="AM27" i="3"/>
  <c r="AQ27" i="3"/>
  <c r="AR27" i="3"/>
  <c r="AS27" i="3"/>
  <c r="AT27" i="3"/>
  <c r="AU27" i="3"/>
  <c r="AK28" i="3"/>
  <c r="AL28" i="3"/>
  <c r="AM28" i="3"/>
  <c r="AQ28" i="3"/>
  <c r="AR28" i="3"/>
  <c r="AS28" i="3"/>
  <c r="AT28" i="3"/>
  <c r="AU28" i="3"/>
  <c r="AK56" i="3"/>
  <c r="AL56" i="3"/>
  <c r="AM56" i="3"/>
  <c r="AQ56" i="3"/>
  <c r="AR56" i="3"/>
  <c r="AS56" i="3"/>
  <c r="AT56" i="3"/>
  <c r="AU56" i="3"/>
  <c r="AK57" i="3"/>
  <c r="AL57" i="3"/>
  <c r="AM57" i="3"/>
  <c r="AQ57" i="3"/>
  <c r="AR57" i="3"/>
  <c r="AS57" i="3"/>
  <c r="AT57" i="3"/>
  <c r="AU57" i="3"/>
  <c r="AK21" i="3"/>
  <c r="AL21" i="3"/>
  <c r="AM21" i="3"/>
  <c r="AQ21" i="3"/>
  <c r="AR21" i="3"/>
  <c r="AS21" i="3"/>
  <c r="AT21" i="3"/>
  <c r="AU21" i="3"/>
  <c r="AK58" i="3"/>
  <c r="AL58" i="3"/>
  <c r="AM58" i="3"/>
  <c r="AQ58" i="3"/>
  <c r="AR58" i="3"/>
  <c r="AS58" i="3"/>
  <c r="AT58" i="3"/>
  <c r="AU58" i="3"/>
  <c r="AK22" i="3"/>
  <c r="AL22" i="3"/>
  <c r="AM22" i="3"/>
  <c r="AQ22" i="3"/>
  <c r="AR22" i="3"/>
  <c r="AS22" i="3"/>
  <c r="AT22" i="3"/>
  <c r="AU22" i="3"/>
  <c r="AK48" i="3"/>
  <c r="AL48" i="3"/>
  <c r="AM48" i="3"/>
  <c r="AQ48" i="3"/>
  <c r="AR48" i="3"/>
  <c r="AS48" i="3"/>
  <c r="AT48" i="3"/>
  <c r="AU48" i="3"/>
  <c r="AK49" i="3"/>
  <c r="AL49" i="3"/>
  <c r="AM49" i="3"/>
  <c r="AQ49" i="3"/>
  <c r="AR49" i="3"/>
  <c r="AS49" i="3"/>
  <c r="AT49" i="3"/>
  <c r="AU49" i="3"/>
  <c r="AK50" i="3"/>
  <c r="AL50" i="3"/>
  <c r="AM50" i="3"/>
  <c r="AQ50" i="3"/>
  <c r="AR50" i="3"/>
  <c r="AS50" i="3"/>
  <c r="AT50" i="3"/>
  <c r="AU50" i="3"/>
  <c r="AK19" i="3"/>
  <c r="AL19" i="3"/>
  <c r="AM19" i="3"/>
  <c r="AQ19" i="3"/>
  <c r="AR19" i="3"/>
  <c r="AS19" i="3"/>
  <c r="AT19" i="3"/>
  <c r="AU19" i="3"/>
  <c r="AK51" i="3"/>
  <c r="AL51" i="3"/>
  <c r="AM51" i="3"/>
  <c r="AQ51" i="3"/>
  <c r="AR51" i="3"/>
  <c r="AS51" i="3"/>
  <c r="AT51" i="3"/>
  <c r="AU51" i="3"/>
  <c r="AK52" i="3"/>
  <c r="AL52" i="3"/>
  <c r="AM52" i="3"/>
  <c r="AQ52" i="3"/>
  <c r="AR52" i="3"/>
  <c r="AS52" i="3"/>
  <c r="AT52" i="3"/>
  <c r="AU52" i="3"/>
  <c r="AK53" i="3"/>
  <c r="AL53" i="3"/>
  <c r="AM53" i="3"/>
  <c r="AQ53" i="3"/>
  <c r="AR53" i="3"/>
  <c r="AS53" i="3"/>
  <c r="AT53" i="3"/>
  <c r="AU53" i="3"/>
  <c r="AK43" i="3"/>
  <c r="AL43" i="3"/>
  <c r="AM43" i="3"/>
  <c r="AQ43" i="3"/>
  <c r="AR43" i="3"/>
  <c r="AS43" i="3"/>
  <c r="AT43" i="3"/>
  <c r="AU43" i="3"/>
  <c r="AK44" i="3"/>
  <c r="AL44" i="3"/>
  <c r="AM44" i="3"/>
  <c r="AQ44" i="3"/>
  <c r="AR44" i="3"/>
  <c r="AS44" i="3"/>
  <c r="AT44" i="3"/>
  <c r="AU44" i="3"/>
  <c r="AK45" i="3"/>
  <c r="AL45" i="3"/>
  <c r="AM45" i="3"/>
  <c r="AQ45" i="3"/>
  <c r="AR45" i="3"/>
  <c r="AS45" i="3"/>
  <c r="AT45" i="3"/>
  <c r="AU45" i="3"/>
  <c r="AK46" i="3"/>
  <c r="AL46" i="3"/>
  <c r="AM46" i="3"/>
  <c r="AQ46" i="3"/>
  <c r="AR46" i="3"/>
  <c r="AS46" i="3"/>
  <c r="AT46" i="3"/>
  <c r="AU46" i="3"/>
  <c r="AK47" i="3"/>
  <c r="AL47" i="3"/>
  <c r="AM47" i="3"/>
  <c r="AQ47" i="3"/>
  <c r="AR47" i="3"/>
  <c r="AS47" i="3"/>
  <c r="AT47" i="3"/>
  <c r="AU47" i="3"/>
  <c r="AY37" i="3"/>
  <c r="AW37" i="3"/>
  <c r="AV37" i="3"/>
  <c r="AU37" i="3"/>
  <c r="AT37" i="3"/>
  <c r="AS37" i="3"/>
  <c r="AR37" i="3"/>
  <c r="AQ37" i="3"/>
  <c r="AM37" i="3"/>
  <c r="AL37" i="3"/>
  <c r="AX37" i="3"/>
  <c r="AK37" i="3"/>
  <c r="AD38" i="3"/>
  <c r="AE38" i="3"/>
  <c r="AF38" i="3"/>
  <c r="AG38" i="3"/>
  <c r="AH38" i="3"/>
  <c r="AI38" i="3"/>
  <c r="AJ38" i="3"/>
  <c r="AD39" i="3"/>
  <c r="AE39" i="3"/>
  <c r="AF39" i="3"/>
  <c r="AG39" i="3"/>
  <c r="AH39" i="3"/>
  <c r="AI39" i="3"/>
  <c r="AJ39" i="3"/>
  <c r="AD40" i="3"/>
  <c r="AE40" i="3"/>
  <c r="AF40" i="3"/>
  <c r="AG40" i="3"/>
  <c r="AH40" i="3"/>
  <c r="AI40" i="3"/>
  <c r="AJ40" i="3"/>
  <c r="AD41" i="3"/>
  <c r="AE41" i="3"/>
  <c r="AF41" i="3"/>
  <c r="AG41" i="3"/>
  <c r="AH41" i="3"/>
  <c r="AI41" i="3"/>
  <c r="AJ41" i="3"/>
  <c r="AD29" i="3"/>
  <c r="AE29" i="3"/>
  <c r="AF29" i="3"/>
  <c r="AG29" i="3"/>
  <c r="AH29" i="3"/>
  <c r="AI29" i="3"/>
  <c r="AJ29" i="3"/>
  <c r="AD42" i="3"/>
  <c r="AE42" i="3"/>
  <c r="AF42" i="3"/>
  <c r="AG42" i="3"/>
  <c r="AH42" i="3"/>
  <c r="AI42" i="3"/>
  <c r="AJ42" i="3"/>
  <c r="AD7" i="3"/>
  <c r="AE7" i="3"/>
  <c r="AF7" i="3"/>
  <c r="AG7" i="3"/>
  <c r="AH7" i="3"/>
  <c r="AI7" i="3"/>
  <c r="AJ7" i="3"/>
  <c r="AD8" i="3"/>
  <c r="AE8" i="3"/>
  <c r="AF8" i="3"/>
  <c r="AG8" i="3"/>
  <c r="AH8" i="3"/>
  <c r="AI8" i="3"/>
  <c r="AJ8" i="3"/>
  <c r="AD9" i="3"/>
  <c r="AE9" i="3"/>
  <c r="AF9" i="3"/>
  <c r="AG9" i="3"/>
  <c r="AH9" i="3"/>
  <c r="AI9" i="3"/>
  <c r="AJ9" i="3"/>
  <c r="AD13" i="3"/>
  <c r="AE13" i="3"/>
  <c r="AF13" i="3"/>
  <c r="AG13" i="3"/>
  <c r="AH13" i="3"/>
  <c r="AI13" i="3"/>
  <c r="AJ13" i="3"/>
  <c r="AD10" i="3"/>
  <c r="AE10" i="3"/>
  <c r="AF10" i="3"/>
  <c r="AG10" i="3"/>
  <c r="AH10" i="3"/>
  <c r="AI10" i="3"/>
  <c r="AJ10" i="3"/>
  <c r="AD14" i="3"/>
  <c r="AE14" i="3"/>
  <c r="AF14" i="3"/>
  <c r="AG14" i="3"/>
  <c r="AH14" i="3"/>
  <c r="AI14" i="3"/>
  <c r="AJ14" i="3"/>
  <c r="AD15" i="3"/>
  <c r="AE15" i="3"/>
  <c r="AF15" i="3"/>
  <c r="AG15" i="3"/>
  <c r="AH15" i="3"/>
  <c r="AI15" i="3"/>
  <c r="AJ15" i="3"/>
  <c r="AD11" i="3"/>
  <c r="AE11" i="3"/>
  <c r="AF11" i="3"/>
  <c r="AG11" i="3"/>
  <c r="AH11" i="3"/>
  <c r="AI11" i="3"/>
  <c r="AJ11" i="3"/>
  <c r="AD12" i="3"/>
  <c r="AE12" i="3"/>
  <c r="AF12" i="3"/>
  <c r="AG12" i="3"/>
  <c r="AH12" i="3"/>
  <c r="AI12" i="3"/>
  <c r="AJ12" i="3"/>
  <c r="AD16" i="3"/>
  <c r="AE16" i="3"/>
  <c r="AF16" i="3"/>
  <c r="AG16" i="3"/>
  <c r="AH16" i="3"/>
  <c r="AI16" i="3"/>
  <c r="AJ16" i="3"/>
  <c r="AD17" i="3"/>
  <c r="AE17" i="3"/>
  <c r="AF17" i="3"/>
  <c r="AG17" i="3"/>
  <c r="AH17" i="3"/>
  <c r="AI17" i="3"/>
  <c r="AJ17" i="3"/>
  <c r="AD18" i="3"/>
  <c r="AE18" i="3"/>
  <c r="AF18" i="3"/>
  <c r="AG18" i="3"/>
  <c r="AH18" i="3"/>
  <c r="AI18" i="3"/>
  <c r="AJ18" i="3"/>
  <c r="AD23" i="3"/>
  <c r="AE23" i="3"/>
  <c r="AF23" i="3"/>
  <c r="AG23" i="3"/>
  <c r="AH23" i="3"/>
  <c r="AI23" i="3"/>
  <c r="AJ23" i="3"/>
  <c r="AD24" i="3"/>
  <c r="AE24" i="3"/>
  <c r="AF24" i="3"/>
  <c r="AG24" i="3"/>
  <c r="AH24" i="3"/>
  <c r="AI24" i="3"/>
  <c r="AJ24" i="3"/>
  <c r="AD32" i="3"/>
  <c r="AE32" i="3"/>
  <c r="AF32" i="3"/>
  <c r="AG32" i="3"/>
  <c r="AH32" i="3"/>
  <c r="AI32" i="3"/>
  <c r="AJ32" i="3"/>
  <c r="AD25" i="3"/>
  <c r="AE25" i="3"/>
  <c r="AF25" i="3"/>
  <c r="AG25" i="3"/>
  <c r="AH25" i="3"/>
  <c r="AI25" i="3"/>
  <c r="AJ25" i="3"/>
  <c r="AD26" i="3"/>
  <c r="AE26" i="3"/>
  <c r="AF26" i="3"/>
  <c r="AG26" i="3"/>
  <c r="AH26" i="3"/>
  <c r="AI26" i="3"/>
  <c r="AJ26" i="3"/>
  <c r="AD33" i="3"/>
  <c r="AE33" i="3"/>
  <c r="AF33" i="3"/>
  <c r="AG33" i="3"/>
  <c r="AH33" i="3"/>
  <c r="AI33" i="3"/>
  <c r="AJ33" i="3"/>
  <c r="AD27" i="3"/>
  <c r="AE27" i="3"/>
  <c r="AF27" i="3"/>
  <c r="AG27" i="3"/>
  <c r="AH27" i="3"/>
  <c r="AI27" i="3"/>
  <c r="AJ27" i="3"/>
  <c r="AD28" i="3"/>
  <c r="AE28" i="3"/>
  <c r="AF28" i="3"/>
  <c r="AG28" i="3"/>
  <c r="AH28" i="3"/>
  <c r="AI28" i="3"/>
  <c r="AJ28" i="3"/>
  <c r="AD56" i="3"/>
  <c r="AE56" i="3"/>
  <c r="AF56" i="3"/>
  <c r="AG56" i="3"/>
  <c r="AH56" i="3"/>
  <c r="AI56" i="3"/>
  <c r="AJ56" i="3"/>
  <c r="AD57" i="3"/>
  <c r="AE57" i="3"/>
  <c r="AF57" i="3"/>
  <c r="AG57" i="3"/>
  <c r="AH57" i="3"/>
  <c r="AI57" i="3"/>
  <c r="AJ57" i="3"/>
  <c r="AD21" i="3"/>
  <c r="AE21" i="3"/>
  <c r="AF21" i="3"/>
  <c r="AG21" i="3"/>
  <c r="AH21" i="3"/>
  <c r="AI21" i="3"/>
  <c r="AJ21" i="3"/>
  <c r="AD58" i="3"/>
  <c r="AE58" i="3"/>
  <c r="AF58" i="3"/>
  <c r="AG58" i="3"/>
  <c r="AH58" i="3"/>
  <c r="AI58" i="3"/>
  <c r="AJ58" i="3"/>
  <c r="AD22" i="3"/>
  <c r="AE22" i="3"/>
  <c r="AF22" i="3"/>
  <c r="AG22" i="3"/>
  <c r="AH22" i="3"/>
  <c r="AI22" i="3"/>
  <c r="AJ22" i="3"/>
  <c r="AD48" i="3"/>
  <c r="AE48" i="3"/>
  <c r="AF48" i="3"/>
  <c r="AG48" i="3"/>
  <c r="AH48" i="3"/>
  <c r="AI48" i="3"/>
  <c r="AJ48" i="3"/>
  <c r="AD49" i="3"/>
  <c r="AE49" i="3"/>
  <c r="AF49" i="3"/>
  <c r="AG49" i="3"/>
  <c r="AH49" i="3"/>
  <c r="AI49" i="3"/>
  <c r="AJ49" i="3"/>
  <c r="AD50" i="3"/>
  <c r="AE50" i="3"/>
  <c r="AF50" i="3"/>
  <c r="AG50" i="3"/>
  <c r="AH50" i="3"/>
  <c r="AI50" i="3"/>
  <c r="AJ50" i="3"/>
  <c r="AD19" i="3"/>
  <c r="AE19" i="3"/>
  <c r="AF19" i="3"/>
  <c r="AG19" i="3"/>
  <c r="AH19" i="3"/>
  <c r="AI19" i="3"/>
  <c r="AJ19" i="3"/>
  <c r="AD51" i="3"/>
  <c r="AE51" i="3"/>
  <c r="AF51" i="3"/>
  <c r="AG51" i="3"/>
  <c r="AH51" i="3"/>
  <c r="AI51" i="3"/>
  <c r="AJ51" i="3"/>
  <c r="AD52" i="3"/>
  <c r="AE52" i="3"/>
  <c r="AF52" i="3"/>
  <c r="AG52" i="3"/>
  <c r="AH52" i="3"/>
  <c r="AI52" i="3"/>
  <c r="AJ52" i="3"/>
  <c r="AD53" i="3"/>
  <c r="AE53" i="3"/>
  <c r="AF53" i="3"/>
  <c r="AG53" i="3"/>
  <c r="AH53" i="3"/>
  <c r="AI53" i="3"/>
  <c r="AJ53" i="3"/>
  <c r="AD43" i="3"/>
  <c r="AE43" i="3"/>
  <c r="AF43" i="3"/>
  <c r="AG43" i="3"/>
  <c r="AH43" i="3"/>
  <c r="AI43" i="3"/>
  <c r="AJ43" i="3"/>
  <c r="AD44" i="3"/>
  <c r="AE44" i="3"/>
  <c r="AF44" i="3"/>
  <c r="AG44" i="3"/>
  <c r="AH44" i="3"/>
  <c r="AI44" i="3"/>
  <c r="AJ44" i="3"/>
  <c r="AD45" i="3"/>
  <c r="AE45" i="3"/>
  <c r="AF45" i="3"/>
  <c r="AG45" i="3"/>
  <c r="AH45" i="3"/>
  <c r="AI45" i="3"/>
  <c r="AJ45" i="3"/>
  <c r="AD46" i="3"/>
  <c r="AE46" i="3"/>
  <c r="AF46" i="3"/>
  <c r="AG46" i="3"/>
  <c r="AH46" i="3"/>
  <c r="AI46" i="3"/>
  <c r="AJ46" i="3"/>
  <c r="AD47" i="3"/>
  <c r="AE47" i="3"/>
  <c r="AF47" i="3"/>
  <c r="AG47" i="3"/>
  <c r="AH47" i="3"/>
  <c r="AI47" i="3"/>
  <c r="AJ47" i="3"/>
  <c r="AJ37" i="3"/>
  <c r="AI37" i="3"/>
  <c r="AH37" i="3"/>
  <c r="AG37" i="3"/>
  <c r="AF37" i="3"/>
  <c r="AE37" i="3"/>
  <c r="AD37" i="3"/>
  <c r="Y16" i="3"/>
  <c r="Z16" i="3"/>
  <c r="AA16" i="3"/>
  <c r="AB16" i="3"/>
  <c r="AC16" i="3"/>
  <c r="Y17" i="3"/>
  <c r="Z17" i="3"/>
  <c r="AA17" i="3"/>
  <c r="AB17" i="3"/>
  <c r="AC17" i="3"/>
  <c r="Y18" i="3"/>
  <c r="Z18" i="3"/>
  <c r="AA18" i="3"/>
  <c r="AB18" i="3"/>
  <c r="AC18" i="3"/>
  <c r="Y23" i="3"/>
  <c r="Z23" i="3"/>
  <c r="AA23" i="3"/>
  <c r="AB23" i="3"/>
  <c r="AC23" i="3"/>
  <c r="Y24" i="3"/>
  <c r="Z24" i="3"/>
  <c r="AA24" i="3"/>
  <c r="AB24" i="3"/>
  <c r="AC24" i="3"/>
  <c r="Y32" i="3"/>
  <c r="Z32" i="3"/>
  <c r="AA32" i="3"/>
  <c r="AB32" i="3"/>
  <c r="AC32" i="3"/>
  <c r="Y25" i="3"/>
  <c r="Z25" i="3"/>
  <c r="AA25" i="3"/>
  <c r="AB25" i="3"/>
  <c r="AC25" i="3"/>
  <c r="Y26" i="3"/>
  <c r="Z26" i="3"/>
  <c r="AA26" i="3"/>
  <c r="AB26" i="3"/>
  <c r="AC26" i="3"/>
  <c r="Y33" i="3"/>
  <c r="Z33" i="3"/>
  <c r="AA33" i="3"/>
  <c r="AB33" i="3"/>
  <c r="AC33" i="3"/>
  <c r="Y27" i="3"/>
  <c r="Z27" i="3"/>
  <c r="AA27" i="3"/>
  <c r="AB27" i="3"/>
  <c r="AC27" i="3"/>
  <c r="Y28" i="3"/>
  <c r="Z28" i="3"/>
  <c r="AA28" i="3"/>
  <c r="AB28" i="3"/>
  <c r="AC28" i="3"/>
  <c r="Y56" i="3"/>
  <c r="Z56" i="3"/>
  <c r="AA56" i="3"/>
  <c r="AB56" i="3"/>
  <c r="AC56" i="3"/>
  <c r="Y57" i="3"/>
  <c r="Z57" i="3"/>
  <c r="AA57" i="3"/>
  <c r="AB57" i="3"/>
  <c r="AC57" i="3"/>
  <c r="Y21" i="3"/>
  <c r="Z21" i="3"/>
  <c r="AA21" i="3"/>
  <c r="AB21" i="3"/>
  <c r="AC21" i="3"/>
  <c r="Y58" i="3"/>
  <c r="Z58" i="3"/>
  <c r="AA58" i="3"/>
  <c r="AB58" i="3"/>
  <c r="AC58" i="3"/>
  <c r="Y22" i="3"/>
  <c r="Z22" i="3"/>
  <c r="AA22" i="3"/>
  <c r="AB22" i="3"/>
  <c r="AC22" i="3"/>
  <c r="Y48" i="3"/>
  <c r="Z48" i="3"/>
  <c r="AA48" i="3"/>
  <c r="AB48" i="3"/>
  <c r="AC48" i="3"/>
  <c r="Y49" i="3"/>
  <c r="Z49" i="3"/>
  <c r="AA49" i="3"/>
  <c r="AB49" i="3"/>
  <c r="AC49" i="3"/>
  <c r="Y50" i="3"/>
  <c r="Z50" i="3"/>
  <c r="AA50" i="3"/>
  <c r="AB50" i="3"/>
  <c r="AC50" i="3"/>
  <c r="Y19" i="3"/>
  <c r="Z19" i="3"/>
  <c r="AA19" i="3"/>
  <c r="AB19" i="3"/>
  <c r="AC19" i="3"/>
  <c r="Y51" i="3"/>
  <c r="Z51" i="3"/>
  <c r="AA51" i="3"/>
  <c r="AB51" i="3"/>
  <c r="AC51" i="3"/>
  <c r="Y52" i="3"/>
  <c r="Z52" i="3"/>
  <c r="AA52" i="3"/>
  <c r="AB52" i="3"/>
  <c r="AC52" i="3"/>
  <c r="Y53" i="3"/>
  <c r="Z53" i="3"/>
  <c r="AA53" i="3"/>
  <c r="AB53" i="3"/>
  <c r="AC53" i="3"/>
  <c r="Y43" i="3"/>
  <c r="Z43" i="3"/>
  <c r="AA43" i="3"/>
  <c r="AB43" i="3"/>
  <c r="AC43" i="3"/>
  <c r="Y44" i="3"/>
  <c r="Z44" i="3"/>
  <c r="AA44" i="3"/>
  <c r="AB44" i="3"/>
  <c r="AC44" i="3"/>
  <c r="Y45" i="3"/>
  <c r="Z45" i="3"/>
  <c r="AA45" i="3"/>
  <c r="AB45" i="3"/>
  <c r="AC45" i="3"/>
  <c r="Y46" i="3"/>
  <c r="Z46" i="3"/>
  <c r="AA46" i="3"/>
  <c r="AB46" i="3"/>
  <c r="AC46" i="3"/>
  <c r="Y47" i="3"/>
  <c r="Z47" i="3"/>
  <c r="AA47" i="3"/>
  <c r="AB47" i="3"/>
  <c r="AC47" i="3"/>
  <c r="Y38" i="3"/>
  <c r="Z38" i="3"/>
  <c r="AA38" i="3"/>
  <c r="AB38" i="3"/>
  <c r="AC38" i="3"/>
  <c r="Y39" i="3"/>
  <c r="Z39" i="3"/>
  <c r="AA39" i="3"/>
  <c r="AB39" i="3"/>
  <c r="AC39" i="3"/>
  <c r="Y40" i="3"/>
  <c r="Z40" i="3"/>
  <c r="AA40" i="3"/>
  <c r="AB40" i="3"/>
  <c r="AC40" i="3"/>
  <c r="Y41" i="3"/>
  <c r="Z41" i="3"/>
  <c r="AA41" i="3"/>
  <c r="AB41" i="3"/>
  <c r="AC41" i="3"/>
  <c r="Y29" i="3"/>
  <c r="Z29" i="3"/>
  <c r="AA29" i="3"/>
  <c r="AB29" i="3"/>
  <c r="AC29" i="3"/>
  <c r="Y42" i="3"/>
  <c r="Z42" i="3"/>
  <c r="AA42" i="3"/>
  <c r="AB42" i="3"/>
  <c r="AC42" i="3"/>
  <c r="Y7" i="3"/>
  <c r="Z7" i="3"/>
  <c r="AA7" i="3"/>
  <c r="AB7" i="3"/>
  <c r="AC7" i="3"/>
  <c r="Y8" i="3"/>
  <c r="Z8" i="3"/>
  <c r="AA8" i="3"/>
  <c r="AB8" i="3"/>
  <c r="AC8" i="3"/>
  <c r="Y9" i="3"/>
  <c r="Z9" i="3"/>
  <c r="AA9" i="3"/>
  <c r="AB9" i="3"/>
  <c r="AC9" i="3"/>
  <c r="Y13" i="3"/>
  <c r="Z13" i="3"/>
  <c r="AA13" i="3"/>
  <c r="AB13" i="3"/>
  <c r="AC13" i="3"/>
  <c r="Y10" i="3"/>
  <c r="Z10" i="3"/>
  <c r="AA10" i="3"/>
  <c r="AB10" i="3"/>
  <c r="AC10" i="3"/>
  <c r="Y14" i="3"/>
  <c r="Z14" i="3"/>
  <c r="AA14" i="3"/>
  <c r="AB14" i="3"/>
  <c r="AC14" i="3"/>
  <c r="Y15" i="3"/>
  <c r="Z15" i="3"/>
  <c r="AA15" i="3"/>
  <c r="AB15" i="3"/>
  <c r="AC15" i="3"/>
  <c r="Y11" i="3"/>
  <c r="Z11" i="3"/>
  <c r="AA11" i="3"/>
  <c r="AB11" i="3"/>
  <c r="AC11" i="3"/>
  <c r="Y12" i="3"/>
  <c r="Z12" i="3"/>
  <c r="AA12" i="3"/>
  <c r="AB12" i="3"/>
  <c r="AC12" i="3"/>
  <c r="AC37" i="3"/>
  <c r="AB37" i="3"/>
  <c r="AA37" i="3"/>
  <c r="Z37" i="3"/>
  <c r="Y37" i="3"/>
  <c r="O38" i="3"/>
  <c r="P38" i="3"/>
  <c r="Q38" i="3"/>
  <c r="R38" i="3"/>
  <c r="S38" i="3"/>
  <c r="T38" i="3"/>
  <c r="U38" i="3"/>
  <c r="V38" i="3"/>
  <c r="W38" i="3"/>
  <c r="X38" i="3"/>
  <c r="O39" i="3"/>
  <c r="P39" i="3"/>
  <c r="Q39" i="3"/>
  <c r="R39" i="3"/>
  <c r="S39" i="3"/>
  <c r="T39" i="3"/>
  <c r="U39" i="3"/>
  <c r="V39" i="3"/>
  <c r="W39" i="3"/>
  <c r="X39" i="3"/>
  <c r="O40" i="3"/>
  <c r="P40" i="3"/>
  <c r="Q40" i="3"/>
  <c r="R40" i="3"/>
  <c r="S40" i="3"/>
  <c r="T40" i="3"/>
  <c r="U40" i="3"/>
  <c r="V40" i="3"/>
  <c r="W40" i="3"/>
  <c r="X40" i="3"/>
  <c r="O41" i="3"/>
  <c r="P41" i="3"/>
  <c r="Q41" i="3"/>
  <c r="R41" i="3"/>
  <c r="S41" i="3"/>
  <c r="T41" i="3"/>
  <c r="U41" i="3"/>
  <c r="V41" i="3"/>
  <c r="W41" i="3"/>
  <c r="X41" i="3"/>
  <c r="O29" i="3"/>
  <c r="P29" i="3"/>
  <c r="Q29" i="3"/>
  <c r="R29" i="3"/>
  <c r="S29" i="3"/>
  <c r="T29" i="3"/>
  <c r="U29" i="3"/>
  <c r="V29" i="3"/>
  <c r="W29" i="3"/>
  <c r="X29" i="3"/>
  <c r="O42" i="3"/>
  <c r="P42" i="3"/>
  <c r="Q42" i="3"/>
  <c r="R42" i="3"/>
  <c r="S42" i="3"/>
  <c r="T42" i="3"/>
  <c r="U42" i="3"/>
  <c r="V42" i="3"/>
  <c r="W42" i="3"/>
  <c r="X42" i="3"/>
  <c r="O7" i="3"/>
  <c r="P7" i="3"/>
  <c r="Q7" i="3"/>
  <c r="R7" i="3"/>
  <c r="S7" i="3"/>
  <c r="T7" i="3"/>
  <c r="U7" i="3"/>
  <c r="V7" i="3"/>
  <c r="W7" i="3"/>
  <c r="X7" i="3"/>
  <c r="O8" i="3"/>
  <c r="P8" i="3"/>
  <c r="Q8" i="3"/>
  <c r="R8" i="3"/>
  <c r="S8" i="3"/>
  <c r="T8" i="3"/>
  <c r="U8" i="3"/>
  <c r="V8" i="3"/>
  <c r="W8" i="3"/>
  <c r="X8" i="3"/>
  <c r="O9" i="3"/>
  <c r="P9" i="3"/>
  <c r="Q9" i="3"/>
  <c r="R9" i="3"/>
  <c r="S9" i="3"/>
  <c r="T9" i="3"/>
  <c r="U9" i="3"/>
  <c r="V9" i="3"/>
  <c r="W9" i="3"/>
  <c r="X9" i="3"/>
  <c r="O13" i="3"/>
  <c r="P13" i="3"/>
  <c r="Q13" i="3"/>
  <c r="R13" i="3"/>
  <c r="S13" i="3"/>
  <c r="T13" i="3"/>
  <c r="U13" i="3"/>
  <c r="V13" i="3"/>
  <c r="W13" i="3"/>
  <c r="X13" i="3"/>
  <c r="O10" i="3"/>
  <c r="P10" i="3"/>
  <c r="Q10" i="3"/>
  <c r="R10" i="3"/>
  <c r="S10" i="3"/>
  <c r="T10" i="3"/>
  <c r="U10" i="3"/>
  <c r="V10" i="3"/>
  <c r="W10" i="3"/>
  <c r="X10" i="3"/>
  <c r="O14" i="3"/>
  <c r="P14" i="3"/>
  <c r="Q14" i="3"/>
  <c r="R14" i="3"/>
  <c r="S14" i="3"/>
  <c r="T14" i="3"/>
  <c r="U14" i="3"/>
  <c r="V14" i="3"/>
  <c r="W14" i="3"/>
  <c r="X14" i="3"/>
  <c r="O15" i="3"/>
  <c r="P15" i="3"/>
  <c r="Q15" i="3"/>
  <c r="R15" i="3"/>
  <c r="S15" i="3"/>
  <c r="T15" i="3"/>
  <c r="U15" i="3"/>
  <c r="V15" i="3"/>
  <c r="W15" i="3"/>
  <c r="X15" i="3"/>
  <c r="O11" i="3"/>
  <c r="P11" i="3"/>
  <c r="Q11" i="3"/>
  <c r="R11" i="3"/>
  <c r="S11" i="3"/>
  <c r="T11" i="3"/>
  <c r="U11" i="3"/>
  <c r="V11" i="3"/>
  <c r="W11" i="3"/>
  <c r="X11" i="3"/>
  <c r="O12" i="3"/>
  <c r="P12" i="3"/>
  <c r="Q12" i="3"/>
  <c r="R12" i="3"/>
  <c r="S12" i="3"/>
  <c r="T12" i="3"/>
  <c r="U12" i="3"/>
  <c r="V12" i="3"/>
  <c r="W12" i="3"/>
  <c r="X12" i="3"/>
  <c r="O16" i="3"/>
  <c r="P16" i="3"/>
  <c r="Q16" i="3"/>
  <c r="R16" i="3"/>
  <c r="S16" i="3"/>
  <c r="T16" i="3"/>
  <c r="U16" i="3"/>
  <c r="V16" i="3"/>
  <c r="W16" i="3"/>
  <c r="X16" i="3"/>
  <c r="O17" i="3"/>
  <c r="P17" i="3"/>
  <c r="Q17" i="3"/>
  <c r="R17" i="3"/>
  <c r="S17" i="3"/>
  <c r="T17" i="3"/>
  <c r="U17" i="3"/>
  <c r="V17" i="3"/>
  <c r="W17" i="3"/>
  <c r="X17" i="3"/>
  <c r="O18" i="3"/>
  <c r="P18" i="3"/>
  <c r="Q18" i="3"/>
  <c r="R18" i="3"/>
  <c r="S18" i="3"/>
  <c r="T18" i="3"/>
  <c r="U18" i="3"/>
  <c r="V18" i="3"/>
  <c r="W18" i="3"/>
  <c r="X18" i="3"/>
  <c r="O23" i="3"/>
  <c r="P23" i="3"/>
  <c r="Q23" i="3"/>
  <c r="R23" i="3"/>
  <c r="S23" i="3"/>
  <c r="T23" i="3"/>
  <c r="U23" i="3"/>
  <c r="V23" i="3"/>
  <c r="W23" i="3"/>
  <c r="X23" i="3"/>
  <c r="O24" i="3"/>
  <c r="P24" i="3"/>
  <c r="Q24" i="3"/>
  <c r="R24" i="3"/>
  <c r="S24" i="3"/>
  <c r="T24" i="3"/>
  <c r="U24" i="3"/>
  <c r="V24" i="3"/>
  <c r="W24" i="3"/>
  <c r="X24" i="3"/>
  <c r="O32" i="3"/>
  <c r="P32" i="3"/>
  <c r="Q32" i="3"/>
  <c r="R32" i="3"/>
  <c r="S32" i="3"/>
  <c r="T32" i="3"/>
  <c r="U32" i="3"/>
  <c r="V32" i="3"/>
  <c r="W32" i="3"/>
  <c r="X32" i="3"/>
  <c r="O25" i="3"/>
  <c r="P25" i="3"/>
  <c r="Q25" i="3"/>
  <c r="R25" i="3"/>
  <c r="S25" i="3"/>
  <c r="T25" i="3"/>
  <c r="U25" i="3"/>
  <c r="V25" i="3"/>
  <c r="W25" i="3"/>
  <c r="X25" i="3"/>
  <c r="O26" i="3"/>
  <c r="P26" i="3"/>
  <c r="Q26" i="3"/>
  <c r="R26" i="3"/>
  <c r="S26" i="3"/>
  <c r="T26" i="3"/>
  <c r="U26" i="3"/>
  <c r="V26" i="3"/>
  <c r="W26" i="3"/>
  <c r="X26" i="3"/>
  <c r="O33" i="3"/>
  <c r="P33" i="3"/>
  <c r="Q33" i="3"/>
  <c r="R33" i="3"/>
  <c r="S33" i="3"/>
  <c r="T33" i="3"/>
  <c r="U33" i="3"/>
  <c r="V33" i="3"/>
  <c r="W33" i="3"/>
  <c r="X33" i="3"/>
  <c r="O27" i="3"/>
  <c r="P27" i="3"/>
  <c r="Q27" i="3"/>
  <c r="R27" i="3"/>
  <c r="S27" i="3"/>
  <c r="T27" i="3"/>
  <c r="U27" i="3"/>
  <c r="V27" i="3"/>
  <c r="W27" i="3"/>
  <c r="X27" i="3"/>
  <c r="O28" i="3"/>
  <c r="P28" i="3"/>
  <c r="Q28" i="3"/>
  <c r="R28" i="3"/>
  <c r="S28" i="3"/>
  <c r="T28" i="3"/>
  <c r="U28" i="3"/>
  <c r="V28" i="3"/>
  <c r="W28" i="3"/>
  <c r="X28" i="3"/>
  <c r="O56" i="3"/>
  <c r="P56" i="3"/>
  <c r="Q56" i="3"/>
  <c r="R56" i="3"/>
  <c r="S56" i="3"/>
  <c r="T56" i="3"/>
  <c r="U56" i="3"/>
  <c r="V56" i="3"/>
  <c r="W56" i="3"/>
  <c r="X56" i="3"/>
  <c r="O57" i="3"/>
  <c r="P57" i="3"/>
  <c r="Q57" i="3"/>
  <c r="R57" i="3"/>
  <c r="S57" i="3"/>
  <c r="T57" i="3"/>
  <c r="U57" i="3"/>
  <c r="V57" i="3"/>
  <c r="W57" i="3"/>
  <c r="X57" i="3"/>
  <c r="O21" i="3"/>
  <c r="P21" i="3"/>
  <c r="Q21" i="3"/>
  <c r="R21" i="3"/>
  <c r="S21" i="3"/>
  <c r="T21" i="3"/>
  <c r="U21" i="3"/>
  <c r="V21" i="3"/>
  <c r="W21" i="3"/>
  <c r="X21" i="3"/>
  <c r="O58" i="3"/>
  <c r="P58" i="3"/>
  <c r="Q58" i="3"/>
  <c r="R58" i="3"/>
  <c r="S58" i="3"/>
  <c r="T58" i="3"/>
  <c r="U58" i="3"/>
  <c r="V58" i="3"/>
  <c r="W58" i="3"/>
  <c r="X58" i="3"/>
  <c r="O22" i="3"/>
  <c r="P22" i="3"/>
  <c r="Q22" i="3"/>
  <c r="R22" i="3"/>
  <c r="S22" i="3"/>
  <c r="T22" i="3"/>
  <c r="U22" i="3"/>
  <c r="V22" i="3"/>
  <c r="W22" i="3"/>
  <c r="X22" i="3"/>
  <c r="O48" i="3"/>
  <c r="P48" i="3"/>
  <c r="Q48" i="3"/>
  <c r="R48" i="3"/>
  <c r="S48" i="3"/>
  <c r="T48" i="3"/>
  <c r="U48" i="3"/>
  <c r="V48" i="3"/>
  <c r="W48" i="3"/>
  <c r="X48" i="3"/>
  <c r="O49" i="3"/>
  <c r="P49" i="3"/>
  <c r="Q49" i="3"/>
  <c r="R49" i="3"/>
  <c r="S49" i="3"/>
  <c r="T49" i="3"/>
  <c r="U49" i="3"/>
  <c r="V49" i="3"/>
  <c r="W49" i="3"/>
  <c r="X49" i="3"/>
  <c r="O50" i="3"/>
  <c r="P50" i="3"/>
  <c r="Q50" i="3"/>
  <c r="R50" i="3"/>
  <c r="S50" i="3"/>
  <c r="T50" i="3"/>
  <c r="U50" i="3"/>
  <c r="V50" i="3"/>
  <c r="W50" i="3"/>
  <c r="X50" i="3"/>
  <c r="O19" i="3"/>
  <c r="P19" i="3"/>
  <c r="Q19" i="3"/>
  <c r="R19" i="3"/>
  <c r="S19" i="3"/>
  <c r="T19" i="3"/>
  <c r="U19" i="3"/>
  <c r="V19" i="3"/>
  <c r="W19" i="3"/>
  <c r="X19" i="3"/>
  <c r="O51" i="3"/>
  <c r="P51" i="3"/>
  <c r="Q51" i="3"/>
  <c r="R51" i="3"/>
  <c r="S51" i="3"/>
  <c r="T51" i="3"/>
  <c r="U51" i="3"/>
  <c r="V51" i="3"/>
  <c r="W51" i="3"/>
  <c r="X51" i="3"/>
  <c r="O52" i="3"/>
  <c r="P52" i="3"/>
  <c r="Q52" i="3"/>
  <c r="R52" i="3"/>
  <c r="S52" i="3"/>
  <c r="T52" i="3"/>
  <c r="U52" i="3"/>
  <c r="V52" i="3"/>
  <c r="W52" i="3"/>
  <c r="X52" i="3"/>
  <c r="O53" i="3"/>
  <c r="P53" i="3"/>
  <c r="Q53" i="3"/>
  <c r="R53" i="3"/>
  <c r="S53" i="3"/>
  <c r="T53" i="3"/>
  <c r="U53" i="3"/>
  <c r="V53" i="3"/>
  <c r="W53" i="3"/>
  <c r="X53" i="3"/>
  <c r="O43" i="3"/>
  <c r="P43" i="3"/>
  <c r="Q43" i="3"/>
  <c r="R43" i="3"/>
  <c r="S43" i="3"/>
  <c r="T43" i="3"/>
  <c r="U43" i="3"/>
  <c r="V43" i="3"/>
  <c r="W43" i="3"/>
  <c r="X43" i="3"/>
  <c r="O44" i="3"/>
  <c r="P44" i="3"/>
  <c r="Q44" i="3"/>
  <c r="R44" i="3"/>
  <c r="S44" i="3"/>
  <c r="T44" i="3"/>
  <c r="U44" i="3"/>
  <c r="V44" i="3"/>
  <c r="W44" i="3"/>
  <c r="X44" i="3"/>
  <c r="O45" i="3"/>
  <c r="P45" i="3"/>
  <c r="Q45" i="3"/>
  <c r="R45" i="3"/>
  <c r="S45" i="3"/>
  <c r="T45" i="3"/>
  <c r="U45" i="3"/>
  <c r="V45" i="3"/>
  <c r="W45" i="3"/>
  <c r="X45" i="3"/>
  <c r="O46" i="3"/>
  <c r="P46" i="3"/>
  <c r="Q46" i="3"/>
  <c r="R46" i="3"/>
  <c r="S46" i="3"/>
  <c r="T46" i="3"/>
  <c r="U46" i="3"/>
  <c r="V46" i="3"/>
  <c r="W46" i="3"/>
  <c r="X46" i="3"/>
  <c r="O47" i="3"/>
  <c r="P47" i="3"/>
  <c r="Q47" i="3"/>
  <c r="R47" i="3"/>
  <c r="S47" i="3"/>
  <c r="T47" i="3"/>
  <c r="U47" i="3"/>
  <c r="V47" i="3"/>
  <c r="W47" i="3"/>
  <c r="X47" i="3"/>
  <c r="X37" i="3"/>
  <c r="W37" i="3"/>
  <c r="V37" i="3"/>
  <c r="U37" i="3"/>
  <c r="T37" i="3"/>
  <c r="S37" i="3"/>
  <c r="R37" i="3"/>
  <c r="Q37" i="3"/>
  <c r="P37" i="3"/>
  <c r="O37" i="3"/>
  <c r="K16" i="3"/>
  <c r="L16" i="3"/>
  <c r="M16" i="3"/>
  <c r="N16" i="3"/>
  <c r="K17" i="3"/>
  <c r="L17" i="3"/>
  <c r="M17" i="3"/>
  <c r="N17" i="3"/>
  <c r="K18" i="3"/>
  <c r="L18" i="3"/>
  <c r="M18" i="3"/>
  <c r="N18" i="3"/>
  <c r="K23" i="3"/>
  <c r="L23" i="3"/>
  <c r="M23" i="3"/>
  <c r="N23" i="3"/>
  <c r="K24" i="3"/>
  <c r="L24" i="3"/>
  <c r="M24" i="3"/>
  <c r="N24" i="3"/>
  <c r="K32" i="3"/>
  <c r="L32" i="3"/>
  <c r="M32" i="3"/>
  <c r="N32" i="3"/>
  <c r="K25" i="3"/>
  <c r="L25" i="3"/>
  <c r="M25" i="3"/>
  <c r="N25" i="3"/>
  <c r="K26" i="3"/>
  <c r="L26" i="3"/>
  <c r="M26" i="3"/>
  <c r="N26" i="3"/>
  <c r="K33" i="3"/>
  <c r="L33" i="3"/>
  <c r="M33" i="3"/>
  <c r="N33" i="3"/>
  <c r="K27" i="3"/>
  <c r="L27" i="3"/>
  <c r="M27" i="3"/>
  <c r="N27" i="3"/>
  <c r="K28" i="3"/>
  <c r="L28" i="3"/>
  <c r="M28" i="3"/>
  <c r="N28" i="3"/>
  <c r="K56" i="3"/>
  <c r="L56" i="3"/>
  <c r="M56" i="3"/>
  <c r="N56" i="3"/>
  <c r="K57" i="3"/>
  <c r="L57" i="3"/>
  <c r="M57" i="3"/>
  <c r="N57" i="3"/>
  <c r="K21" i="3"/>
  <c r="L21" i="3"/>
  <c r="M21" i="3"/>
  <c r="N21" i="3"/>
  <c r="K58" i="3"/>
  <c r="L58" i="3"/>
  <c r="M58" i="3"/>
  <c r="N58" i="3"/>
  <c r="K22" i="3"/>
  <c r="L22" i="3"/>
  <c r="M22" i="3"/>
  <c r="N22" i="3"/>
  <c r="K48" i="3"/>
  <c r="L48" i="3"/>
  <c r="M48" i="3"/>
  <c r="N48" i="3"/>
  <c r="K49" i="3"/>
  <c r="L49" i="3"/>
  <c r="M49" i="3"/>
  <c r="N49" i="3"/>
  <c r="K50" i="3"/>
  <c r="L50" i="3"/>
  <c r="M50" i="3"/>
  <c r="N50" i="3"/>
  <c r="K19" i="3"/>
  <c r="L19" i="3"/>
  <c r="M19" i="3"/>
  <c r="N19" i="3"/>
  <c r="K51" i="3"/>
  <c r="L51" i="3"/>
  <c r="M51" i="3"/>
  <c r="N51" i="3"/>
  <c r="K52" i="3"/>
  <c r="L52" i="3"/>
  <c r="M52" i="3"/>
  <c r="N52" i="3"/>
  <c r="K53" i="3"/>
  <c r="L53" i="3"/>
  <c r="M53" i="3"/>
  <c r="N53" i="3"/>
  <c r="K43" i="3"/>
  <c r="L43" i="3"/>
  <c r="M43" i="3"/>
  <c r="N43" i="3"/>
  <c r="K44" i="3"/>
  <c r="L44" i="3"/>
  <c r="M44" i="3"/>
  <c r="N44" i="3"/>
  <c r="K45" i="3"/>
  <c r="L45" i="3"/>
  <c r="M45" i="3"/>
  <c r="N45" i="3"/>
  <c r="K46" i="3"/>
  <c r="L46" i="3"/>
  <c r="M46" i="3"/>
  <c r="N46" i="3"/>
  <c r="K47" i="3"/>
  <c r="L47" i="3"/>
  <c r="M47" i="3"/>
  <c r="N47" i="3"/>
  <c r="K38" i="3"/>
  <c r="L38" i="3"/>
  <c r="M38" i="3"/>
  <c r="N38" i="3"/>
  <c r="K39" i="3"/>
  <c r="L39" i="3"/>
  <c r="M39" i="3"/>
  <c r="N39" i="3"/>
  <c r="K40" i="3"/>
  <c r="L40" i="3"/>
  <c r="M40" i="3"/>
  <c r="N40" i="3"/>
  <c r="K41" i="3"/>
  <c r="L41" i="3"/>
  <c r="M41" i="3"/>
  <c r="N41" i="3"/>
  <c r="K29" i="3"/>
  <c r="L29" i="3"/>
  <c r="M29" i="3"/>
  <c r="N29" i="3"/>
  <c r="K42" i="3"/>
  <c r="L42" i="3"/>
  <c r="M42" i="3"/>
  <c r="N42" i="3"/>
  <c r="K7" i="3"/>
  <c r="L7" i="3"/>
  <c r="M7" i="3"/>
  <c r="N7" i="3"/>
  <c r="K8" i="3"/>
  <c r="L8" i="3"/>
  <c r="M8" i="3"/>
  <c r="N8" i="3"/>
  <c r="K9" i="3"/>
  <c r="L9" i="3"/>
  <c r="M9" i="3"/>
  <c r="N9" i="3"/>
  <c r="K13" i="3"/>
  <c r="L13" i="3"/>
  <c r="M13" i="3"/>
  <c r="N13" i="3"/>
  <c r="K10" i="3"/>
  <c r="L10" i="3"/>
  <c r="M10" i="3"/>
  <c r="N10" i="3"/>
  <c r="K14" i="3"/>
  <c r="L14" i="3"/>
  <c r="M14" i="3"/>
  <c r="N14" i="3"/>
  <c r="K15" i="3"/>
  <c r="L15" i="3"/>
  <c r="M15" i="3"/>
  <c r="N15" i="3"/>
  <c r="K11" i="3"/>
  <c r="L11" i="3"/>
  <c r="M11" i="3"/>
  <c r="N11" i="3"/>
  <c r="K12" i="3"/>
  <c r="L12" i="3"/>
  <c r="M12" i="3"/>
  <c r="N12" i="3"/>
  <c r="N37" i="3"/>
  <c r="M37" i="3"/>
  <c r="L37" i="3"/>
  <c r="K37" i="3"/>
  <c r="J38" i="3"/>
  <c r="J39" i="3"/>
  <c r="J40" i="3"/>
  <c r="J41" i="3"/>
  <c r="J29" i="3"/>
  <c r="J42" i="3"/>
  <c r="J7" i="3"/>
  <c r="J8" i="3"/>
  <c r="J9" i="3"/>
  <c r="J13" i="3"/>
  <c r="J10" i="3"/>
  <c r="J14" i="3"/>
  <c r="J15" i="3"/>
  <c r="J11" i="3"/>
  <c r="J12" i="3"/>
  <c r="J16" i="3"/>
  <c r="J17" i="3"/>
  <c r="J18" i="3"/>
  <c r="J23" i="3"/>
  <c r="J24" i="3"/>
  <c r="J32" i="3"/>
  <c r="J25" i="3"/>
  <c r="J26" i="3"/>
  <c r="J33" i="3"/>
  <c r="J27" i="3"/>
  <c r="J28" i="3"/>
  <c r="J56" i="3"/>
  <c r="J57" i="3"/>
  <c r="J21" i="3"/>
  <c r="J58" i="3"/>
  <c r="J22" i="3"/>
  <c r="J48" i="3"/>
  <c r="J49" i="3"/>
  <c r="J50" i="3"/>
  <c r="J19" i="3"/>
  <c r="J51" i="3"/>
  <c r="J52" i="3"/>
  <c r="J53" i="3"/>
  <c r="J43" i="3"/>
  <c r="J44" i="3"/>
  <c r="J45" i="3"/>
  <c r="J46" i="3"/>
  <c r="J47" i="3"/>
  <c r="J37" i="3"/>
  <c r="I16" i="3"/>
  <c r="I17" i="3"/>
  <c r="I18" i="3"/>
  <c r="I23" i="3"/>
  <c r="I24" i="3"/>
  <c r="I32" i="3"/>
  <c r="I25" i="3"/>
  <c r="I26" i="3"/>
  <c r="I33" i="3"/>
  <c r="I27" i="3"/>
  <c r="I28" i="3"/>
  <c r="I56" i="3"/>
  <c r="I57" i="3"/>
  <c r="I21" i="3"/>
  <c r="I58" i="3"/>
  <c r="I22" i="3"/>
  <c r="I48" i="3"/>
  <c r="I49" i="3"/>
  <c r="I50" i="3"/>
  <c r="I19" i="3"/>
  <c r="I51" i="3"/>
  <c r="I52" i="3"/>
  <c r="I53" i="3"/>
  <c r="I43" i="3"/>
  <c r="I44" i="3"/>
  <c r="I45" i="3"/>
  <c r="I46" i="3"/>
  <c r="I47" i="3"/>
  <c r="I38" i="3"/>
  <c r="I39" i="3"/>
  <c r="I40" i="3"/>
  <c r="I41" i="3"/>
  <c r="I29" i="3"/>
  <c r="I42" i="3"/>
  <c r="I7" i="3"/>
  <c r="I8" i="3"/>
  <c r="I9" i="3"/>
  <c r="I13" i="3"/>
  <c r="I10" i="3"/>
  <c r="I14" i="3"/>
  <c r="I15" i="3"/>
  <c r="I11" i="3"/>
  <c r="I12" i="3"/>
  <c r="I37" i="3"/>
  <c r="H16" i="3"/>
  <c r="H17" i="3"/>
  <c r="H18" i="3"/>
  <c r="H23" i="3"/>
  <c r="H24" i="3"/>
  <c r="H32" i="3"/>
  <c r="H25" i="3"/>
  <c r="H26" i="3"/>
  <c r="H33" i="3"/>
  <c r="H27" i="3"/>
  <c r="H28" i="3"/>
  <c r="H56" i="3"/>
  <c r="H57" i="3"/>
  <c r="H21" i="3"/>
  <c r="H58" i="3"/>
  <c r="H22" i="3"/>
  <c r="H48" i="3"/>
  <c r="H49" i="3"/>
  <c r="H50" i="3"/>
  <c r="H19" i="3"/>
  <c r="H51" i="3"/>
  <c r="H52" i="3"/>
  <c r="H53" i="3"/>
  <c r="H43" i="3"/>
  <c r="H44" i="3"/>
  <c r="H45" i="3"/>
  <c r="H46" i="3"/>
  <c r="H47" i="3"/>
  <c r="H38" i="3"/>
  <c r="H39" i="3"/>
  <c r="H40" i="3"/>
  <c r="H41" i="3"/>
  <c r="H29" i="3"/>
  <c r="H42" i="3"/>
  <c r="H7" i="3"/>
  <c r="H8" i="3"/>
  <c r="H9" i="3"/>
  <c r="H13" i="3"/>
  <c r="H10" i="3"/>
  <c r="H14" i="3"/>
  <c r="H15" i="3"/>
  <c r="H11" i="3"/>
  <c r="H12" i="3"/>
  <c r="H37" i="3"/>
  <c r="G16" i="3"/>
  <c r="G17" i="3"/>
  <c r="G18" i="3"/>
  <c r="G23" i="3"/>
  <c r="G24" i="3"/>
  <c r="G32" i="3"/>
  <c r="G25" i="3"/>
  <c r="G26" i="3"/>
  <c r="G33" i="3"/>
  <c r="G27" i="3"/>
  <c r="G28" i="3"/>
  <c r="G56" i="3"/>
  <c r="G57" i="3"/>
  <c r="G21" i="3"/>
  <c r="G58" i="3"/>
  <c r="G22" i="3"/>
  <c r="G48" i="3"/>
  <c r="G49" i="3"/>
  <c r="G50" i="3"/>
  <c r="G19" i="3"/>
  <c r="G51" i="3"/>
  <c r="G52" i="3"/>
  <c r="G53" i="3"/>
  <c r="G43" i="3"/>
  <c r="G44" i="3"/>
  <c r="G45" i="3"/>
  <c r="G46" i="3"/>
  <c r="G47" i="3"/>
  <c r="G38" i="3"/>
  <c r="G39" i="3"/>
  <c r="G40" i="3"/>
  <c r="G41" i="3"/>
  <c r="G29" i="3"/>
  <c r="G42" i="3"/>
  <c r="G7" i="3"/>
  <c r="G8" i="3"/>
  <c r="G9" i="3"/>
  <c r="G13" i="3"/>
  <c r="G10" i="3"/>
  <c r="G14" i="3"/>
  <c r="G15" i="3"/>
  <c r="G11" i="3"/>
  <c r="G12" i="3"/>
  <c r="G37" i="3"/>
  <c r="F16" i="3"/>
  <c r="F17" i="3"/>
  <c r="F18" i="3"/>
  <c r="F23" i="3"/>
  <c r="F24" i="3"/>
  <c r="F32" i="3"/>
  <c r="F25" i="3"/>
  <c r="F26" i="3"/>
  <c r="F33" i="3"/>
  <c r="F27" i="3"/>
  <c r="F56" i="3"/>
  <c r="F57" i="3"/>
  <c r="F58" i="3"/>
  <c r="F22" i="3"/>
  <c r="F48" i="3"/>
  <c r="F49" i="3"/>
  <c r="F50" i="3"/>
  <c r="F19" i="3"/>
  <c r="F51" i="3"/>
  <c r="F52" i="3"/>
  <c r="F53" i="3"/>
  <c r="F44" i="3"/>
  <c r="F45" i="3"/>
  <c r="F46" i="3"/>
  <c r="F47" i="3"/>
  <c r="F38" i="3"/>
  <c r="F39" i="3"/>
  <c r="F40" i="3"/>
  <c r="F41" i="3"/>
  <c r="F29" i="3"/>
  <c r="F42" i="3"/>
  <c r="F7" i="3"/>
  <c r="F8" i="3"/>
  <c r="F9" i="3"/>
  <c r="F13" i="3"/>
  <c r="F10" i="3"/>
  <c r="F14" i="3"/>
  <c r="F15" i="3"/>
  <c r="F11" i="3"/>
  <c r="F12" i="3"/>
  <c r="F37" i="3"/>
  <c r="D41" i="3"/>
  <c r="D29" i="3"/>
  <c r="D42" i="3"/>
  <c r="D7" i="3"/>
  <c r="D8" i="3"/>
  <c r="D9" i="3"/>
  <c r="D13" i="3"/>
  <c r="D10" i="3"/>
  <c r="D14" i="3"/>
  <c r="D15" i="3"/>
  <c r="D11" i="3"/>
  <c r="D12" i="3"/>
  <c r="D16" i="3"/>
  <c r="D17" i="3"/>
  <c r="D18" i="3"/>
  <c r="D23" i="3"/>
  <c r="D24" i="3"/>
  <c r="D32" i="3"/>
  <c r="D25" i="3"/>
  <c r="D26" i="3"/>
  <c r="D33" i="3"/>
  <c r="D27" i="3"/>
  <c r="D28" i="3"/>
  <c r="D56" i="3"/>
  <c r="D57" i="3"/>
  <c r="D21" i="3"/>
  <c r="D58" i="3"/>
  <c r="D22" i="3"/>
  <c r="D48" i="3"/>
  <c r="D49" i="3"/>
  <c r="D50" i="3"/>
  <c r="D19" i="3"/>
  <c r="D51" i="3"/>
  <c r="D52" i="3"/>
  <c r="D53" i="3"/>
  <c r="D43" i="3"/>
  <c r="D44" i="3"/>
  <c r="D45" i="3"/>
  <c r="D46" i="3"/>
  <c r="D47" i="3"/>
  <c r="D40" i="3"/>
  <c r="D39" i="3"/>
  <c r="D38" i="3"/>
  <c r="D37" i="3"/>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P52" i="2" l="1"/>
  <c r="P27" i="2"/>
  <c r="Z60" i="2"/>
  <c r="Z15" i="2"/>
  <c r="P47" i="2"/>
  <c r="P19" i="2"/>
  <c r="Z51" i="2"/>
  <c r="AP45" i="3"/>
  <c r="AP50" i="3"/>
  <c r="AP25" i="3"/>
  <c r="AP13" i="3"/>
  <c r="BF14" i="3"/>
  <c r="BF18" i="3"/>
  <c r="BF33" i="3"/>
  <c r="BF58" i="3"/>
  <c r="BF46" i="3"/>
  <c r="BF51" i="3"/>
  <c r="AP53" i="3"/>
  <c r="AP11" i="3"/>
  <c r="AP19" i="3"/>
  <c r="AP10" i="3"/>
  <c r="AP49" i="3"/>
  <c r="AP32" i="3"/>
  <c r="AP9" i="3"/>
  <c r="AP8" i="3"/>
  <c r="AP51" i="3"/>
  <c r="BF8" i="3"/>
  <c r="AP23" i="3"/>
  <c r="BF49" i="3"/>
  <c r="BF13" i="3"/>
  <c r="BF25" i="3"/>
  <c r="BF50" i="3"/>
  <c r="AP44" i="3"/>
  <c r="AP16" i="3"/>
  <c r="Z25" i="2"/>
  <c r="P50" i="2"/>
  <c r="P26" i="2"/>
  <c r="Z12" i="2"/>
  <c r="Z27" i="2"/>
  <c r="Z14" i="2"/>
  <c r="Z42" i="2"/>
  <c r="Z10" i="2"/>
  <c r="Z17" i="2"/>
  <c r="Z48" i="2"/>
  <c r="Z16" i="2"/>
  <c r="P49" i="2"/>
  <c r="P46" i="2"/>
  <c r="P59" i="2"/>
  <c r="P18" i="2"/>
  <c r="Z11" i="2"/>
  <c r="Z13" i="2"/>
  <c r="P30" i="2"/>
  <c r="P21" i="2"/>
  <c r="P60" i="2"/>
  <c r="Z35" i="2"/>
  <c r="Z20" i="2"/>
  <c r="P24" i="2"/>
  <c r="Z52" i="2"/>
  <c r="AP46" i="3"/>
  <c r="AP58" i="3"/>
  <c r="AP18" i="3"/>
  <c r="BF11" i="3"/>
  <c r="BF53" i="3"/>
  <c r="BF40" i="3"/>
  <c r="BF9" i="3"/>
  <c r="BF12" i="3"/>
  <c r="AP43" i="3"/>
  <c r="AP12" i="3"/>
  <c r="AP40" i="3"/>
  <c r="P45" i="2"/>
  <c r="P58" i="2"/>
  <c r="P14" i="2"/>
  <c r="AP15" i="3"/>
  <c r="P54" i="2"/>
  <c r="P29" i="2"/>
  <c r="P34" i="2"/>
  <c r="AP33" i="3"/>
  <c r="AP14" i="3"/>
  <c r="BF10" i="3"/>
  <c r="BF19" i="3"/>
  <c r="P35" i="2"/>
  <c r="Z55" i="2"/>
  <c r="BF15" i="3"/>
  <c r="BF23" i="3"/>
  <c r="P51" i="2"/>
  <c r="P53" i="2"/>
  <c r="P28" i="2"/>
  <c r="P55" i="2"/>
  <c r="P13" i="2"/>
  <c r="D47" i="2"/>
  <c r="E47" i="2" s="1"/>
  <c r="D44" i="2" l="1"/>
  <c r="A40" i="2"/>
  <c r="A41" i="2"/>
  <c r="A42" i="2"/>
  <c r="A43" i="2"/>
  <c r="A31" i="2"/>
  <c r="A9" i="2"/>
  <c r="A10" i="2"/>
  <c r="A11" i="2"/>
  <c r="A15" i="2"/>
  <c r="A12" i="2"/>
  <c r="A16" i="2"/>
  <c r="A17" i="2"/>
  <c r="A13" i="2"/>
  <c r="A14" i="2"/>
  <c r="A18" i="2"/>
  <c r="A19" i="2"/>
  <c r="A20" i="2"/>
  <c r="A25" i="2"/>
  <c r="A26" i="2"/>
  <c r="A27" i="2"/>
  <c r="A28" i="2"/>
  <c r="A35" i="2"/>
  <c r="A29" i="2"/>
  <c r="A30" i="2"/>
  <c r="A58" i="2"/>
  <c r="A59" i="2"/>
  <c r="A23" i="2"/>
  <c r="A60" i="2"/>
  <c r="A24" i="2"/>
  <c r="A50" i="2"/>
  <c r="A51" i="2"/>
  <c r="A52" i="2"/>
  <c r="A21" i="2"/>
  <c r="A53" i="2"/>
  <c r="A54" i="2"/>
  <c r="A55" i="2"/>
  <c r="A45" i="2"/>
  <c r="A46" i="2"/>
  <c r="A47" i="2"/>
  <c r="A48" i="2"/>
  <c r="A49" i="2"/>
  <c r="D19" i="2"/>
  <c r="E19" i="2" s="1"/>
  <c r="D41" i="2"/>
  <c r="D42" i="2"/>
  <c r="E42" i="2" s="1"/>
  <c r="D43" i="2"/>
  <c r="E43" i="2" s="1"/>
  <c r="D31" i="2"/>
  <c r="E31" i="2" s="1"/>
  <c r="D9" i="2"/>
  <c r="E9" i="2" s="1"/>
  <c r="D10" i="2"/>
  <c r="E10" i="2" s="1"/>
  <c r="D11" i="2"/>
  <c r="E11" i="2" s="1"/>
  <c r="D15" i="2"/>
  <c r="E15" i="2" s="1"/>
  <c r="D12" i="2"/>
  <c r="E12" i="2" s="1"/>
  <c r="D16" i="2"/>
  <c r="E16" i="2" s="1"/>
  <c r="D17" i="2"/>
  <c r="E17" i="2" s="1"/>
  <c r="D13" i="2"/>
  <c r="E13" i="2" s="1"/>
  <c r="D14" i="2"/>
  <c r="E14" i="2" s="1"/>
  <c r="D18" i="2"/>
  <c r="E18" i="2" s="1"/>
  <c r="D20" i="2"/>
  <c r="E20" i="2" s="1"/>
  <c r="D25" i="2"/>
  <c r="E25" i="2" s="1"/>
  <c r="D26" i="2"/>
  <c r="D34" i="2"/>
  <c r="E34" i="2" s="1"/>
  <c r="D27" i="2"/>
  <c r="E27" i="2" s="1"/>
  <c r="D28" i="2"/>
  <c r="E28" i="2" s="1"/>
  <c r="D35" i="2"/>
  <c r="E35" i="2" s="1"/>
  <c r="D29" i="2"/>
  <c r="E29" i="2" s="1"/>
  <c r="D30" i="2"/>
  <c r="E30" i="2" s="1"/>
  <c r="D58" i="2"/>
  <c r="D59" i="2"/>
  <c r="E59" i="2" s="1"/>
  <c r="D23" i="2"/>
  <c r="E23" i="2" s="1"/>
  <c r="D60" i="2"/>
  <c r="E60" i="2" s="1"/>
  <c r="D24" i="2"/>
  <c r="E24" i="2" s="1"/>
  <c r="D50" i="2"/>
  <c r="E50" i="2" s="1"/>
  <c r="D51" i="2"/>
  <c r="E51" i="2" s="1"/>
  <c r="D52" i="2"/>
  <c r="D21" i="2"/>
  <c r="E21" i="2" s="1"/>
  <c r="D53" i="2"/>
  <c r="E53" i="2" s="1"/>
  <c r="D54" i="2"/>
  <c r="E54" i="2" s="1"/>
  <c r="D55" i="2"/>
  <c r="E55" i="2" s="1"/>
  <c r="D45" i="2"/>
  <c r="E45" i="2" s="1"/>
  <c r="D46" i="2"/>
  <c r="E46" i="2" s="1"/>
  <c r="D48" i="2"/>
  <c r="E48" i="2" s="1"/>
  <c r="D49" i="2"/>
  <c r="E49" i="2" s="1"/>
  <c r="D40" i="2"/>
  <c r="E40" i="2" s="1"/>
  <c r="D39" i="2"/>
  <c r="E39" i="2" s="1"/>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1" i="9"/>
  <c r="D42" i="9"/>
  <c r="D43" i="9"/>
  <c r="D44" i="9"/>
  <c r="D45" i="9"/>
  <c r="D46" i="9"/>
  <c r="D47" i="9"/>
  <c r="D48" i="9"/>
  <c r="D49" i="9"/>
  <c r="D50" i="9"/>
  <c r="D51" i="9"/>
  <c r="D52" i="9"/>
  <c r="D53" i="9"/>
  <c r="D54" i="9"/>
  <c r="D55" i="9"/>
  <c r="D56" i="9"/>
  <c r="D57" i="9"/>
  <c r="D58" i="9"/>
  <c r="D59" i="9"/>
  <c r="D60" i="9"/>
  <c r="D61" i="9"/>
  <c r="D62" i="9"/>
  <c r="D63" i="9"/>
  <c r="D2" i="9"/>
  <c r="A20" i="9"/>
  <c r="B22" i="3"/>
  <c r="B48" i="3"/>
  <c r="B58" i="3"/>
  <c r="B21" i="3"/>
  <c r="B50" i="3"/>
  <c r="B16" i="3"/>
  <c r="B23" i="3"/>
  <c r="B24" i="3"/>
  <c r="B32" i="3"/>
  <c r="A44" i="2" l="1"/>
  <c r="P10" i="2" l="1"/>
  <c r="B46" i="3" l="1"/>
  <c r="B18" i="3" l="1"/>
  <c r="P12" i="2" l="1"/>
  <c r="A38" i="9" l="1"/>
  <c r="A3" i="9" l="1"/>
  <c r="A4" i="9"/>
  <c r="A5" i="9"/>
  <c r="A6" i="9"/>
  <c r="A7" i="9"/>
  <c r="A8" i="9"/>
  <c r="A9" i="9"/>
  <c r="A10" i="9"/>
  <c r="A11" i="9"/>
  <c r="A12" i="9"/>
  <c r="A13" i="9"/>
  <c r="A14" i="9"/>
  <c r="A15" i="9"/>
  <c r="A16" i="9"/>
  <c r="A17" i="9"/>
  <c r="A18" i="9"/>
  <c r="A19" i="9"/>
  <c r="A21" i="9"/>
  <c r="A22" i="9"/>
  <c r="A23" i="9"/>
  <c r="A24" i="9"/>
  <c r="A25" i="9"/>
  <c r="A26" i="9"/>
  <c r="A27" i="9"/>
  <c r="A28" i="9"/>
  <c r="A29" i="9"/>
  <c r="A30" i="9"/>
  <c r="A31" i="9"/>
  <c r="A32" i="9"/>
  <c r="A33" i="9"/>
  <c r="A34" i="9"/>
  <c r="A35" i="9"/>
  <c r="A36" i="9"/>
  <c r="A37" i="9"/>
  <c r="A39" i="9"/>
  <c r="A41" i="9"/>
  <c r="A42" i="9"/>
  <c r="A43" i="9"/>
  <c r="A44" i="9"/>
  <c r="A45" i="9"/>
  <c r="A46" i="9"/>
  <c r="A47" i="9"/>
  <c r="A48" i="9"/>
  <c r="A49" i="9"/>
  <c r="A50" i="9"/>
  <c r="A51" i="9"/>
  <c r="A52" i="9"/>
  <c r="A53" i="9"/>
  <c r="A54" i="9"/>
  <c r="A55" i="9"/>
  <c r="A56" i="9"/>
  <c r="A57" i="9"/>
  <c r="A58" i="9"/>
  <c r="A59" i="9"/>
  <c r="A2" i="9"/>
  <c r="P39" i="2" l="1"/>
  <c r="P17" i="2"/>
  <c r="P42" i="2"/>
  <c r="P15" i="2"/>
  <c r="P9" i="2"/>
  <c r="P40" i="2"/>
  <c r="P16" i="2"/>
  <c r="P31" i="2"/>
  <c r="P11" i="2"/>
  <c r="P44" i="2"/>
  <c r="P43" i="2"/>
  <c r="P41" i="2"/>
  <c r="B27" i="3" l="1"/>
  <c r="B25" i="3"/>
  <c r="B19" i="3"/>
  <c r="B13" i="3"/>
  <c r="B15" i="3"/>
  <c r="B37" i="3"/>
  <c r="B56" i="3"/>
  <c r="B40" i="3"/>
  <c r="B52" i="3"/>
  <c r="B53" i="3"/>
  <c r="B14" i="3"/>
  <c r="B38" i="3"/>
  <c r="B41" i="3"/>
  <c r="B39" i="3"/>
  <c r="B33" i="3"/>
  <c r="B11" i="3"/>
  <c r="B8" i="3"/>
  <c r="B45" i="3"/>
  <c r="B44" i="3"/>
  <c r="B47" i="3"/>
  <c r="B10" i="3"/>
  <c r="B51" i="3"/>
  <c r="B12" i="3"/>
  <c r="B49" i="3"/>
  <c r="B7" i="3"/>
  <c r="B42" i="3"/>
  <c r="B28" i="3"/>
  <c r="B57" i="3"/>
  <c r="B17" i="3"/>
  <c r="B43" i="3"/>
  <c r="B9" i="3"/>
  <c r="B26" i="3"/>
  <c r="B29" i="3"/>
  <c r="A3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tc={E204D4E3-74B5-43AE-87CE-9B4C6D944860}</author>
  </authors>
  <commentList>
    <comment ref="B52" authorId="0" shapeId="0" xr:uid="{E204D4E3-74B5-43AE-87CE-9B4C6D944860}">
      <text>
        <t>[Threaded comment]
Your version of Excel allows you to read this threaded comment; however, any edits to it will get removed if the file is opened in a newer version of Excel. Learn more: https://go.microsoft.com/fwlink/?linkid=870924
Comment:
    @Adler, Camille @Kelly, Kathleen Nickel and Cadmium are very high.  Could we please double check the lab results?  Thanks!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tc={65DD0DA7-A9E5-4C73-9F94-A4D0DC4A66B6}</author>
  </authors>
  <commentList>
    <comment ref="BD4" authorId="0" shapeId="0" xr:uid="{65DD0DA7-A9E5-4C73-9F94-A4D0DC4A66B6}">
      <text>
        <t>[Threaded comment]
Your version of Excel allows you to read this threaded comment; however, any edits to it will get removed if the file is opened in a newer version of Excel. Learn more: https://go.microsoft.com/fwlink/?linkid=870924
Comment:
    @Kelly, Kathleen @Adler, Camille is it possible the Total Chromium and Chromium VI results got switched for the highlighted samples? Those samples have Total Chromium &lt; Chromium 6, and we would expect the opposite.  Thanks!</t>
      </text>
    </comment>
  </commentList>
</comments>
</file>

<file path=xl/sharedStrings.xml><?xml version="1.0" encoding="utf-8"?>
<sst xmlns="http://schemas.openxmlformats.org/spreadsheetml/2006/main" count="19150" uniqueCount="797">
  <si>
    <t>Non-Storm Water Action Levels for Discharges from MS4s to Inland Surface Waters (Table C-4 in Order No. R9-2015-0100)</t>
  </si>
  <si>
    <t xml:space="preserve">Parameter </t>
  </si>
  <si>
    <t>Units</t>
  </si>
  <si>
    <t>MDAL</t>
  </si>
  <si>
    <t>Instantaneous Maximum</t>
  </si>
  <si>
    <t>Basis</t>
  </si>
  <si>
    <t>Above Action Level</t>
  </si>
  <si>
    <t>Notes</t>
  </si>
  <si>
    <t>Dissolved Oxygen</t>
  </si>
  <si>
    <t>mg/L</t>
  </si>
  <si>
    <t>Not less than 5.0 in warm waters</t>
  </si>
  <si>
    <t>Basin Plan</t>
  </si>
  <si>
    <t>Turbidity</t>
  </si>
  <si>
    <t>NTU</t>
  </si>
  <si>
    <t>See MDAL</t>
  </si>
  <si>
    <t>pH</t>
  </si>
  <si>
    <t>Fecal Coliform</t>
  </si>
  <si>
    <r>
      <t xml:space="preserve">MPN/100 mL </t>
    </r>
    <r>
      <rPr>
        <vertAlign val="superscript"/>
        <sz val="11"/>
        <color theme="1"/>
        <rFont val="Calibri"/>
        <family val="2"/>
        <scheme val="minor"/>
      </rPr>
      <t>1</t>
    </r>
  </si>
  <si>
    <t xml:space="preserve"> -</t>
  </si>
  <si>
    <r>
      <t xml:space="preserve">400 </t>
    </r>
    <r>
      <rPr>
        <vertAlign val="superscript"/>
        <sz val="11"/>
        <color theme="1"/>
        <rFont val="Calibri"/>
        <family val="2"/>
        <scheme val="minor"/>
      </rPr>
      <t>3</t>
    </r>
  </si>
  <si>
    <t>Enterococci</t>
  </si>
  <si>
    <r>
      <t xml:space="preserve">61 </t>
    </r>
    <r>
      <rPr>
        <vertAlign val="superscript"/>
        <sz val="11"/>
        <color theme="1"/>
        <rFont val="Calibri"/>
        <family val="2"/>
        <scheme val="minor"/>
      </rPr>
      <t>4</t>
    </r>
  </si>
  <si>
    <t>All samples collected above 61 CFU/100 mL (44). Only outfalls that drain to water bodies with existing REC-1 beneficial use; others drain to water bodies with potential REC-1 beneficial use, or that are not in the Basin Plan</t>
  </si>
  <si>
    <t>Total Nitrogen</t>
  </si>
  <si>
    <t>Total Phosphorus</t>
  </si>
  <si>
    <t>MBAS</t>
  </si>
  <si>
    <t>Iron</t>
  </si>
  <si>
    <t>Manganese</t>
  </si>
  <si>
    <t>Cadmium</t>
  </si>
  <si>
    <r>
      <rPr>
        <sz val="11"/>
        <color theme="1"/>
        <rFont val="Symbol"/>
        <family val="1"/>
        <charset val="2"/>
      </rPr>
      <t>m</t>
    </r>
    <r>
      <rPr>
        <sz val="11"/>
        <color theme="1"/>
        <rFont val="Calibri"/>
        <family val="2"/>
        <scheme val="minor"/>
      </rPr>
      <t>g/L</t>
    </r>
  </si>
  <si>
    <t>**</t>
  </si>
  <si>
    <t>California Toxic Rule</t>
  </si>
  <si>
    <t>Copper</t>
  </si>
  <si>
    <t>*</t>
  </si>
  <si>
    <r>
      <t>Chromium III</t>
    </r>
    <r>
      <rPr>
        <vertAlign val="superscript"/>
        <sz val="11"/>
        <color theme="1"/>
        <rFont val="Calibri"/>
        <family val="2"/>
        <scheme val="minor"/>
      </rPr>
      <t>2</t>
    </r>
  </si>
  <si>
    <r>
      <t>Chromium IV</t>
    </r>
    <r>
      <rPr>
        <vertAlign val="superscript"/>
        <sz val="11"/>
        <color theme="1"/>
        <rFont val="Calibri"/>
        <family val="2"/>
        <scheme val="minor"/>
      </rPr>
      <t>2</t>
    </r>
  </si>
  <si>
    <t>Lead</t>
  </si>
  <si>
    <t>Nickel</t>
  </si>
  <si>
    <t>Silver</t>
  </si>
  <si>
    <t>Zinc</t>
  </si>
  <si>
    <t>All outfalls assessed met NAL</t>
  </si>
  <si>
    <t>MDAL -</t>
  </si>
  <si>
    <t>Maximum Daily Action Level</t>
  </si>
  <si>
    <t>Analysis done  by membrane filtration - units are CFU/100 mL</t>
  </si>
  <si>
    <t>Based on a minimum of not less than five samples for any 30-day period</t>
  </si>
  <si>
    <t>The NAL is reached if more than 10 percent of total samples exceed 400 MPN per 100 ml during ay 30 day period</t>
  </si>
  <si>
    <t xml:space="preserve">This value has been set to the Basin Plan water quality objective for freshwater "designated beach areas" and is not applicable to water bodies that are not designated with the water contact recreation (REC-1) beneficial use. </t>
  </si>
  <si>
    <t>Action levels based on receiving water hardness, per 40 CFR 131.38(b)(2); evaluation here used hardness from outfalls</t>
  </si>
  <si>
    <t>Calculated criteria not to exceed Maximum Contaminant Levels (MCLs) under the California Code of Regulations, Title 22, Division 4, Chapter 15, Article 4, Section 64431</t>
  </si>
  <si>
    <t>https://govt.westlaw.com/calregs/Document/I2810C4E12DCC4B40A165E23D1B6C6F0D?viewType=FullText&amp;originationContext=documenttoc&amp;transitionType=CategoryPageItem&amp;contextData=(sc.Default)</t>
  </si>
  <si>
    <t>https://www.ecfr.gov/cgi-bin/text-idx?SID=454a7b51118b27f20cef29ff071c1440&amp;node=40:22.0.1.1.18&amp;rgn=div5#se40.24.131_138</t>
  </si>
  <si>
    <t>Appendix A.2.  Attachment 3- 4a. Dry Weather Data, Round 1</t>
  </si>
  <si>
    <t xml:space="preserve">                      </t>
  </si>
  <si>
    <t>Laboratory Measurements</t>
  </si>
  <si>
    <t>Field Measurements</t>
  </si>
  <si>
    <t>Fecal Indicator Bacteria</t>
  </si>
  <si>
    <t>Nutrients</t>
  </si>
  <si>
    <t>Pesticides and PAHs</t>
  </si>
  <si>
    <t>Chloride (Cl)</t>
  </si>
  <si>
    <t>Dissolved Organic Carbon</t>
  </si>
  <si>
    <t>Hardness as CaCO3</t>
  </si>
  <si>
    <t>Surfactants (MBAS)</t>
  </si>
  <si>
    <t>Sulfate (SO4)</t>
  </si>
  <si>
    <t>Total Dissolved Solids</t>
  </si>
  <si>
    <t>Total Organic Carbon</t>
  </si>
  <si>
    <t>Total Metals</t>
  </si>
  <si>
    <t>Dissolved Metals</t>
  </si>
  <si>
    <t>Station</t>
  </si>
  <si>
    <t>Jurisdiction</t>
  </si>
  <si>
    <t>Date and time (PDT)</t>
  </si>
  <si>
    <t>Specific Conductivity</t>
  </si>
  <si>
    <t>Water Temperature</t>
  </si>
  <si>
    <t>E. Coli</t>
  </si>
  <si>
    <t>Total Coliform</t>
  </si>
  <si>
    <t>AmmoniaN</t>
  </si>
  <si>
    <t>NitrateNitriteN</t>
  </si>
  <si>
    <t>OrthoPhosphateP</t>
  </si>
  <si>
    <t>TKN</t>
  </si>
  <si>
    <t>TotalPhosphorusPO4</t>
  </si>
  <si>
    <t>VSS</t>
  </si>
  <si>
    <t>TSS</t>
  </si>
  <si>
    <t>SpecCond</t>
  </si>
  <si>
    <t>2,4'-DDE</t>
  </si>
  <si>
    <t>4,4'-DDE</t>
  </si>
  <si>
    <t>Dieldrin</t>
  </si>
  <si>
    <t>Diazinon</t>
  </si>
  <si>
    <t>Benzo[b]fluoranthene</t>
  </si>
  <si>
    <t>Arsenic</t>
  </si>
  <si>
    <t>Chromium</t>
  </si>
  <si>
    <t>Chromium VI</t>
  </si>
  <si>
    <t>Chromium III*</t>
  </si>
  <si>
    <t>Mercury</t>
  </si>
  <si>
    <t>Selenium</t>
  </si>
  <si>
    <t>Thallium</t>
  </si>
  <si>
    <t>uS/cm</t>
  </si>
  <si>
    <t>SU</t>
  </si>
  <si>
    <t>deg C</t>
  </si>
  <si>
    <t>CFU/100 ml</t>
  </si>
  <si>
    <t>umhos/cm</t>
  </si>
  <si>
    <t>ng/L</t>
  </si>
  <si>
    <t>µg/L</t>
  </si>
  <si>
    <t>J01-9131-1 (J01P28)</t>
  </si>
  <si>
    <t>&lt;0.55</t>
  </si>
  <si>
    <t>&lt;0.33</t>
  </si>
  <si>
    <t>J06-9079-1 (J06P03)</t>
  </si>
  <si>
    <t>J01-9992-1 (J01P27)</t>
  </si>
  <si>
    <t>J06-10011-1 (J06P01)</t>
  </si>
  <si>
    <t>J06-9362-1 (J06-03)</t>
  </si>
  <si>
    <t>J01-9082-2</t>
  </si>
  <si>
    <t>L01-404-1</t>
  </si>
  <si>
    <t>J01-9007-1 (J02P05)</t>
  </si>
  <si>
    <t>L01-340-1</t>
  </si>
  <si>
    <t>L05-489-3</t>
  </si>
  <si>
    <t>L05-049-1</t>
  </si>
  <si>
    <t>&lt;0.35</t>
  </si>
  <si>
    <t>L02-374-1 (L02P50)</t>
  </si>
  <si>
    <t>L01-728-5 (L01-DP)</t>
  </si>
  <si>
    <t>L01-727-1 (L01S04)</t>
  </si>
  <si>
    <t>d, h</t>
  </si>
  <si>
    <t>I00-11468-1</t>
  </si>
  <si>
    <t xml:space="preserve"> --</t>
  </si>
  <si>
    <t>&lt;0.38</t>
  </si>
  <si>
    <t>&lt;0.23</t>
  </si>
  <si>
    <t>I01-11010-1</t>
  </si>
  <si>
    <t>L03-418-8</t>
  </si>
  <si>
    <t>K01-12156-4 (SCNK01)</t>
  </si>
  <si>
    <t>f</t>
  </si>
  <si>
    <t>K01-12177-1 (K01P07)</t>
  </si>
  <si>
    <t>J03-9221-1 (J03P02)</t>
  </si>
  <si>
    <t>&lt;0.37</t>
  </si>
  <si>
    <t>J01-9224-1 (J01P24)</t>
  </si>
  <si>
    <t>&lt;0.19</t>
  </si>
  <si>
    <t>J01-9224-2 (J01P25)</t>
  </si>
  <si>
    <t>I01-11343-2 (I02P18)</t>
  </si>
  <si>
    <t>J01-9273-1 (J01ASVM)</t>
  </si>
  <si>
    <t>a</t>
  </si>
  <si>
    <t>I01-11343-1</t>
  </si>
  <si>
    <t>J01-9046-1</t>
  </si>
  <si>
    <t>&lt;0.11</t>
  </si>
  <si>
    <t>J01-10004-1 (J01P01)</t>
  </si>
  <si>
    <t>J01-9046-2</t>
  </si>
  <si>
    <t>J01-9349-1</t>
  </si>
  <si>
    <t>J01-9785-1</t>
  </si>
  <si>
    <t>b</t>
  </si>
  <si>
    <t>L04-266-5</t>
  </si>
  <si>
    <t>L03-662-3 (L03P16)</t>
  </si>
  <si>
    <t>L04-136-1u (L04P07)</t>
  </si>
  <si>
    <t>e</t>
  </si>
  <si>
    <t>L03-214-2 (L03P18)</t>
  </si>
  <si>
    <t>L03-316-3 (L03P12)</t>
  </si>
  <si>
    <t>L03-073-3</t>
  </si>
  <si>
    <t>L02-246-1 (L11P01)</t>
  </si>
  <si>
    <t>L02-166-3 (L02P26)</t>
  </si>
  <si>
    <t>&lt;0.1</t>
  </si>
  <si>
    <t>L02-641-2</t>
  </si>
  <si>
    <t>L02-641-1</t>
  </si>
  <si>
    <t>L01-731-1 (L08TBN2)</t>
  </si>
  <si>
    <t>M01-042-1 (M01S01)</t>
  </si>
  <si>
    <t>&lt;0.83</t>
  </si>
  <si>
    <t>&lt;0.76</t>
  </si>
  <si>
    <t>M02-032-1</t>
  </si>
  <si>
    <t>M02-052-2</t>
  </si>
  <si>
    <t>M02-015-1</t>
  </si>
  <si>
    <t>M02-085-1 (M02P06)</t>
  </si>
  <si>
    <t>&lt;0.78</t>
  </si>
  <si>
    <t>&lt;0.80</t>
  </si>
  <si>
    <t>M02-085-2</t>
  </si>
  <si>
    <t>L01-766-7</t>
  </si>
  <si>
    <t>L01-766-4</t>
  </si>
  <si>
    <t>d</t>
  </si>
  <si>
    <t>L01-749-2</t>
  </si>
  <si>
    <t>g</t>
  </si>
  <si>
    <t>&lt;0.21</t>
  </si>
  <si>
    <t>L02-541-9 (L02P02)</t>
  </si>
  <si>
    <t>&lt;0.26</t>
  </si>
  <si>
    <t>L01-766-2 (L01S06)</t>
  </si>
  <si>
    <t>KEY</t>
  </si>
  <si>
    <t>Watershed name - catchment  ID- drain number</t>
  </si>
  <si>
    <t>Outfall location</t>
  </si>
  <si>
    <t>Not collected-pooled/ponded</t>
  </si>
  <si>
    <t>Not collected-limited flow</t>
  </si>
  <si>
    <t>c</t>
  </si>
  <si>
    <t>Not collected-inaccessible</t>
  </si>
  <si>
    <t>Not collected-dry</t>
  </si>
  <si>
    <t xml:space="preserve">Sample collected upstream of ponded water at outfall. </t>
  </si>
  <si>
    <t>receiving water location (not an outfall)</t>
  </si>
  <si>
    <t xml:space="preserve">Outfall at L01 recently unburied.  Sample collected from ditch upstream.  Ponded at outfall. </t>
  </si>
  <si>
    <t>h</t>
  </si>
  <si>
    <t>Dry past three visits</t>
  </si>
  <si>
    <t>&lt;</t>
  </si>
  <si>
    <t>Result is below the reporting limit</t>
  </si>
  <si>
    <t>Data Unavailable</t>
  </si>
  <si>
    <t xml:space="preserve">Chromium III is calculated from total chromium and Cr6 (Chromium III = Total Chromium minus Hexavalent Chromium).  If Hexavalent Chromium is greater than Total Chromium, the result of Chromium is listed as less than the Hexavalent Chromium results. </t>
  </si>
  <si>
    <t>Non-Storm Water Action Levels for Discharges from MS4s to Inland Surface Waters (Table C-4 in Order No. R9-2015-0100),  or to Ocean Surf Zone (Table C-1)</t>
  </si>
  <si>
    <t xml:space="preserve">Results and Assessment (see Table C-4 in Order No. R9-2015-0100 ) from MS4 Outfall Dry Weather Discharge Monitoring, Summer 2021, Round 1 (Draft).  </t>
  </si>
  <si>
    <t>Appendix A.2.  Attachment 3- 4b. NALs Assessment, Round 1</t>
  </si>
  <si>
    <t>Non-Stormwater Action Levels Maximum Daily Action Levels</t>
  </si>
  <si>
    <r>
      <t>Priority Pollutants Freshwater California Toxic Rule Maximum Daily Action Level</t>
    </r>
    <r>
      <rPr>
        <b/>
        <vertAlign val="superscript"/>
        <sz val="18"/>
        <rFont val="Lato"/>
        <family val="2"/>
      </rPr>
      <t>3</t>
    </r>
  </si>
  <si>
    <t>Filter by jurisdiction</t>
  </si>
  <si>
    <t>not &lt; 6 (COLD) and not &lt;5 (WARM)</t>
  </si>
  <si>
    <t>6.5-8.5</t>
  </si>
  <si>
    <t>Facility ID</t>
  </si>
  <si>
    <t>Nearest Receiving Water</t>
  </si>
  <si>
    <t>Date Sampled (PDT)</t>
  </si>
  <si>
    <r>
      <t>Flow estimate (cfs)</t>
    </r>
    <r>
      <rPr>
        <vertAlign val="superscript"/>
        <sz val="18"/>
        <color theme="1"/>
        <rFont val="Lato"/>
        <family val="2"/>
      </rPr>
      <t>1</t>
    </r>
  </si>
  <si>
    <t>Specific Conductivity (uS/cm)</t>
  </si>
  <si>
    <t>Dissolved Oxygen (mg/L)</t>
  </si>
  <si>
    <t>Turbidity (NTU)</t>
  </si>
  <si>
    <t>pH (SU)</t>
  </si>
  <si>
    <t>Fecal Coliform (CFU/100 mL)</t>
  </si>
  <si>
    <r>
      <rPr>
        <i/>
        <sz val="18"/>
        <color theme="1"/>
        <rFont val="Lato"/>
        <family val="2"/>
      </rPr>
      <t>Enterococci</t>
    </r>
    <r>
      <rPr>
        <vertAlign val="superscript"/>
        <sz val="18"/>
        <color theme="1"/>
        <rFont val="Lato"/>
        <family val="2"/>
      </rPr>
      <t xml:space="preserve"> 2 </t>
    </r>
    <r>
      <rPr>
        <sz val="18"/>
        <color theme="1"/>
        <rFont val="Lato"/>
        <family val="2"/>
      </rPr>
      <t>(CFU/100 mL)</t>
    </r>
  </si>
  <si>
    <t>Total Nitrogen (mg/L)</t>
  </si>
  <si>
    <t>Total Phosphorus (mg/L)</t>
  </si>
  <si>
    <t>MBAS (mg/L)</t>
  </si>
  <si>
    <t>Iron (mg/L)</t>
  </si>
  <si>
    <r>
      <t>Manganese</t>
    </r>
    <r>
      <rPr>
        <vertAlign val="superscript"/>
        <sz val="18"/>
        <color theme="1"/>
        <rFont val="Lato"/>
        <family val="2"/>
      </rPr>
      <t xml:space="preserve"> </t>
    </r>
    <r>
      <rPr>
        <sz val="18"/>
        <color theme="1"/>
        <rFont val="Lato"/>
        <family val="2"/>
      </rPr>
      <t>(mg/L)</t>
    </r>
  </si>
  <si>
    <t>Hardness as CaC03 (mg/L)</t>
  </si>
  <si>
    <t>Cadmium (Total)
(µg/L)</t>
  </si>
  <si>
    <r>
      <t>Nickel (Total)</t>
    </r>
    <r>
      <rPr>
        <vertAlign val="superscript"/>
        <sz val="18"/>
        <color theme="1"/>
        <rFont val="Lato"/>
        <family val="2"/>
      </rPr>
      <t xml:space="preserve"> </t>
    </r>
    <r>
      <rPr>
        <sz val="18"/>
        <color theme="1"/>
        <rFont val="Lato"/>
        <family val="2"/>
      </rPr>
      <t>(µg/L)</t>
    </r>
  </si>
  <si>
    <r>
      <t>Chromium (Total)</t>
    </r>
    <r>
      <rPr>
        <vertAlign val="superscript"/>
        <sz val="18"/>
        <color theme="1"/>
        <rFont val="Lato"/>
        <family val="2"/>
      </rPr>
      <t xml:space="preserve"> </t>
    </r>
    <r>
      <rPr>
        <sz val="18"/>
        <color theme="1"/>
        <rFont val="Lato"/>
        <family val="2"/>
      </rPr>
      <t xml:space="preserve"> (µg/L)</t>
    </r>
  </si>
  <si>
    <t>Chromium IV (µg/L)</t>
  </si>
  <si>
    <r>
      <t>Chromium III   (µg/L)</t>
    </r>
    <r>
      <rPr>
        <vertAlign val="superscript"/>
        <sz val="18"/>
        <color theme="1"/>
        <rFont val="Lato"/>
        <family val="2"/>
      </rPr>
      <t>4</t>
    </r>
  </si>
  <si>
    <r>
      <t>Copper (total)</t>
    </r>
    <r>
      <rPr>
        <vertAlign val="superscript"/>
        <sz val="18"/>
        <color theme="1"/>
        <rFont val="Lato"/>
        <family val="2"/>
      </rPr>
      <t xml:space="preserve"> </t>
    </r>
    <r>
      <rPr>
        <sz val="18"/>
        <color theme="1"/>
        <rFont val="Lato"/>
        <family val="2"/>
      </rPr>
      <t>(µg/L)</t>
    </r>
  </si>
  <si>
    <r>
      <t>Lead (total)</t>
    </r>
    <r>
      <rPr>
        <vertAlign val="superscript"/>
        <sz val="18"/>
        <color theme="1"/>
        <rFont val="Lato"/>
        <family val="2"/>
      </rPr>
      <t xml:space="preserve"> </t>
    </r>
    <r>
      <rPr>
        <sz val="18"/>
        <color theme="1"/>
        <rFont val="Lato"/>
        <family val="2"/>
      </rPr>
      <t>(µg/L)</t>
    </r>
  </si>
  <si>
    <r>
      <t>Silver (tota)</t>
    </r>
    <r>
      <rPr>
        <vertAlign val="superscript"/>
        <sz val="18"/>
        <color theme="1"/>
        <rFont val="Lato"/>
        <family val="2"/>
      </rPr>
      <t xml:space="preserve"> </t>
    </r>
    <r>
      <rPr>
        <sz val="18"/>
        <color theme="1"/>
        <rFont val="Lato"/>
        <family val="2"/>
      </rPr>
      <t>(µg/L)</t>
    </r>
  </si>
  <si>
    <r>
      <t>Zinc (total)</t>
    </r>
    <r>
      <rPr>
        <vertAlign val="superscript"/>
        <sz val="18"/>
        <color theme="1"/>
        <rFont val="Lato"/>
        <family val="2"/>
      </rPr>
      <t xml:space="preserve"> </t>
    </r>
    <r>
      <rPr>
        <sz val="18"/>
        <color theme="1"/>
        <rFont val="Lato"/>
        <family val="2"/>
      </rPr>
      <t>(µg/L)</t>
    </r>
  </si>
  <si>
    <r>
      <t>Copper (dissolved)</t>
    </r>
    <r>
      <rPr>
        <vertAlign val="superscript"/>
        <sz val="18"/>
        <color theme="1"/>
        <rFont val="Lato"/>
        <family val="2"/>
      </rPr>
      <t xml:space="preserve"> </t>
    </r>
    <r>
      <rPr>
        <sz val="18"/>
        <color theme="1"/>
        <rFont val="Lato"/>
        <family val="2"/>
      </rPr>
      <t>(µg/L)</t>
    </r>
  </si>
  <si>
    <r>
      <t>Lead (dissolved)</t>
    </r>
    <r>
      <rPr>
        <vertAlign val="superscript"/>
        <sz val="18"/>
        <color theme="1"/>
        <rFont val="Lato"/>
        <family val="2"/>
      </rPr>
      <t xml:space="preserve"> </t>
    </r>
    <r>
      <rPr>
        <sz val="18"/>
        <color theme="1"/>
        <rFont val="Lato"/>
        <family val="2"/>
      </rPr>
      <t>(µg/L)</t>
    </r>
  </si>
  <si>
    <r>
      <t>Silver (dissolved)</t>
    </r>
    <r>
      <rPr>
        <vertAlign val="superscript"/>
        <sz val="18"/>
        <color theme="1"/>
        <rFont val="Lato"/>
        <family val="2"/>
      </rPr>
      <t xml:space="preserve"> </t>
    </r>
    <r>
      <rPr>
        <sz val="18"/>
        <color theme="1"/>
        <rFont val="Lato"/>
        <family val="2"/>
      </rPr>
      <t>(µg/L)</t>
    </r>
  </si>
  <si>
    <r>
      <t>Zinc (dissolved)</t>
    </r>
    <r>
      <rPr>
        <vertAlign val="superscript"/>
        <sz val="18"/>
        <color theme="1"/>
        <rFont val="Lato"/>
        <family val="2"/>
      </rPr>
      <t xml:space="preserve"> </t>
    </r>
    <r>
      <rPr>
        <sz val="18"/>
        <color theme="1"/>
        <rFont val="Lato"/>
        <family val="2"/>
      </rPr>
      <t>(µg/L)</t>
    </r>
  </si>
  <si>
    <t>&lt;0.02</t>
  </si>
  <si>
    <t>7, d, h</t>
  </si>
  <si>
    <t>6, f</t>
  </si>
  <si>
    <t>6, a</t>
  </si>
  <si>
    <t>5, a</t>
  </si>
  <si>
    <t>6, b</t>
  </si>
  <si>
    <t>7, e</t>
  </si>
  <si>
    <t>7, f</t>
  </si>
  <si>
    <t>7, d</t>
  </si>
  <si>
    <t>7, g</t>
  </si>
  <si>
    <t>Discharge estimated via floating leaf, ultrasonic sensors, or pressure-transducer</t>
  </si>
  <si>
    <t>NAL not applicable to water bodies that are not designated with the water contact recreation (REC-1) beneficial use</t>
  </si>
  <si>
    <t>The Cadmium, Copper, Chromium(III), Lead, Nickel, Silver, and Zinc NALs for MS4 discharges to freshwater receiving waters will be developed on a case-by-case basis based on site-specific water quality data (receiving water hardness).  For these priority pollutants, refer to 40 CF$ 131.38(b)(2)</t>
  </si>
  <si>
    <t>Receiving water body not in Basin Plan</t>
  </si>
  <si>
    <t>Receiving water has REC-1 as a potential, not exisiting, beneficial use</t>
  </si>
  <si>
    <t>Receiving water is REC-1 Beneficial Use</t>
  </si>
  <si>
    <t>BOLD</t>
  </si>
  <si>
    <t xml:space="preserve">Concentrations above MDALs (Maximum Daily Action Level).  An Action Level is not enforceable, but is rather intended to be informative, and to help further assess the effectiveness of water quality improvement strategies, as well as inform outfall prioritization for future retrofits.)   </t>
  </si>
  <si>
    <t>&lt;4</t>
  </si>
  <si>
    <t>&lt;0.64</t>
  </si>
  <si>
    <t>&lt;3</t>
  </si>
  <si>
    <t>&lt;1</t>
  </si>
  <si>
    <t>&lt;0.29</t>
  </si>
  <si>
    <t>&lt;0.30</t>
  </si>
  <si>
    <t>&lt;0.2</t>
  </si>
  <si>
    <t>&lt;0.22</t>
  </si>
  <si>
    <t>&lt;5</t>
  </si>
  <si>
    <t>&lt;0.5</t>
  </si>
  <si>
    <t>&lt;0.4</t>
  </si>
  <si>
    <t>&lt;2</t>
  </si>
  <si>
    <t>&lt;0.24</t>
  </si>
  <si>
    <t>L04-136-1 (L04P07)</t>
  </si>
  <si>
    <t>7, a</t>
  </si>
  <si>
    <t>&lt;0.34</t>
  </si>
  <si>
    <t>&lt;0.82</t>
  </si>
  <si>
    <t>&lt;1.6</t>
  </si>
  <si>
    <t>&lt;0.001</t>
  </si>
  <si>
    <t>&lt;0.36</t>
  </si>
  <si>
    <t>&lt;0.25</t>
  </si>
  <si>
    <t>&lt;0.75</t>
  </si>
  <si>
    <t>&lt;0.32</t>
  </si>
  <si>
    <t>&lt;0.18</t>
  </si>
  <si>
    <t>Column1</t>
  </si>
  <si>
    <t>Sample ID</t>
  </si>
  <si>
    <t>Collect Date</t>
  </si>
  <si>
    <t>Sample Type</t>
  </si>
  <si>
    <t>SpecificConductivity</t>
  </si>
  <si>
    <t>Temperature</t>
  </si>
  <si>
    <t>Enterococcus</t>
  </si>
  <si>
    <t>Field Dissolved Oxygen</t>
  </si>
  <si>
    <t>Field pH</t>
  </si>
  <si>
    <t>Field Specific Conductivity</t>
  </si>
  <si>
    <t>Field Temperature</t>
  </si>
  <si>
    <t>Total</t>
  </si>
  <si>
    <t>&lt;10</t>
  </si>
  <si>
    <t>&lt;6</t>
  </si>
  <si>
    <t>&lt;20</t>
  </si>
  <si>
    <t>&lt;25</t>
  </si>
  <si>
    <t>&lt;0.05</t>
  </si>
  <si>
    <t>&lt;5.6</t>
  </si>
  <si>
    <t>&gt;=340</t>
  </si>
  <si>
    <t>&gt;=570</t>
  </si>
  <si>
    <t>&gt;=7600</t>
  </si>
  <si>
    <t>Dissolved</t>
  </si>
  <si>
    <t>NA</t>
  </si>
  <si>
    <t>L03-662-3</t>
  </si>
  <si>
    <t>&lt;6.3</t>
  </si>
  <si>
    <t>&gt;=8400</t>
  </si>
  <si>
    <t xml:space="preserve"> L04-136-1u</t>
  </si>
  <si>
    <t>L03-214-2</t>
  </si>
  <si>
    <t>&gt;=1220</t>
  </si>
  <si>
    <t>&gt;=1290</t>
  </si>
  <si>
    <t>&gt;=8600</t>
  </si>
  <si>
    <t>L03-316-3</t>
  </si>
  <si>
    <t>&gt;=3900</t>
  </si>
  <si>
    <t>I01-11343-2</t>
  </si>
  <si>
    <t>&gt;=22000</t>
  </si>
  <si>
    <t>&gt;=5400</t>
  </si>
  <si>
    <t>J01-9131-1</t>
  </si>
  <si>
    <t>&lt;5.9</t>
  </si>
  <si>
    <t>&gt;=84000</t>
  </si>
  <si>
    <t>J06-9079-1</t>
  </si>
  <si>
    <t>&gt;=6100</t>
  </si>
  <si>
    <t>J01-9992-1</t>
  </si>
  <si>
    <t>&gt;=78000</t>
  </si>
  <si>
    <t>&gt;=1300</t>
  </si>
  <si>
    <t>&gt;=9000</t>
  </si>
  <si>
    <t>J06-10011-1</t>
  </si>
  <si>
    <t>&lt;0.06</t>
  </si>
  <si>
    <t>&gt;=620</t>
  </si>
  <si>
    <t>J01-9007-1</t>
  </si>
  <si>
    <t>&lt;8.3</t>
  </si>
  <si>
    <t>&gt;=250</t>
  </si>
  <si>
    <t>&gt;=32000</t>
  </si>
  <si>
    <t>&gt;=960</t>
  </si>
  <si>
    <t>&gt;=910</t>
  </si>
  <si>
    <t>&gt;=31000</t>
  </si>
  <si>
    <t>J06-9362-1</t>
  </si>
  <si>
    <t>&gt;=10400</t>
  </si>
  <si>
    <t>&gt;=950</t>
  </si>
  <si>
    <t>&gt;=5000</t>
  </si>
  <si>
    <t>&lt;0.6</t>
  </si>
  <si>
    <t>&gt;=9700</t>
  </si>
  <si>
    <t>L02-374-1</t>
  </si>
  <si>
    <t>&gt;=5300</t>
  </si>
  <si>
    <t>K01-12156-4</t>
  </si>
  <si>
    <t>&gt;=2500</t>
  </si>
  <si>
    <t>&gt;=3600</t>
  </si>
  <si>
    <t>K01-12177-1</t>
  </si>
  <si>
    <t>&gt;=11700</t>
  </si>
  <si>
    <t>J03-9221-1</t>
  </si>
  <si>
    <t>&gt;=520</t>
  </si>
  <si>
    <t>J01-10004-1</t>
  </si>
  <si>
    <t>&gt;=59000</t>
  </si>
  <si>
    <t>J01-9224-1</t>
  </si>
  <si>
    <t>J01-9224-2</t>
  </si>
  <si>
    <t>&lt;9</t>
  </si>
  <si>
    <t>&gt;=440</t>
  </si>
  <si>
    <t>&gt;=109000</t>
  </si>
  <si>
    <t>L02-541-9</t>
  </si>
  <si>
    <t>&gt;=310</t>
  </si>
  <si>
    <t>&gt;=36000</t>
  </si>
  <si>
    <t>&gt;=1900</t>
  </si>
  <si>
    <t>L01-766-2</t>
  </si>
  <si>
    <t>&gt;=2900</t>
  </si>
  <si>
    <t>&gt;=2800</t>
  </si>
  <si>
    <t>M01-042-1</t>
  </si>
  <si>
    <t>&gt;=900</t>
  </si>
  <si>
    <t>&gt;=1200</t>
  </si>
  <si>
    <t>&gt;=49000</t>
  </si>
  <si>
    <t>&gt;=24000</t>
  </si>
  <si>
    <t>L01-728-5</t>
  </si>
  <si>
    <t>&gt;=4000</t>
  </si>
  <si>
    <t>&gt;=4800</t>
  </si>
  <si>
    <t>&gt;=46000</t>
  </si>
  <si>
    <t>M02-085-1</t>
  </si>
  <si>
    <t>&gt;=12900</t>
  </si>
  <si>
    <t>L02-246-1</t>
  </si>
  <si>
    <t>&gt;=2200</t>
  </si>
  <si>
    <t>&gt;=39000</t>
  </si>
  <si>
    <t>L02-166-3</t>
  </si>
  <si>
    <t>&lt;5.3</t>
  </si>
  <si>
    <t>&gt;=4600</t>
  </si>
  <si>
    <t>&gt;=12500</t>
  </si>
  <si>
    <t>&gt;=4400</t>
  </si>
  <si>
    <t>&gt;=21000</t>
  </si>
  <si>
    <t>L01-731-1</t>
  </si>
  <si>
    <t>&gt;=6800</t>
  </si>
  <si>
    <t>&gt;=700</t>
  </si>
  <si>
    <t>&gt;=30000</t>
  </si>
  <si>
    <t>&gt;=2600</t>
  </si>
  <si>
    <t>&gt;=42000</t>
  </si>
  <si>
    <t>&gt;=5800</t>
  </si>
  <si>
    <t>&gt;=3100</t>
  </si>
  <si>
    <t>&gt;=108000</t>
  </si>
  <si>
    <t>&gt;=45000</t>
  </si>
  <si>
    <t>&gt;=580000</t>
  </si>
  <si>
    <t>&gt;=12000</t>
  </si>
  <si>
    <t>&gt;=17700</t>
  </si>
  <si>
    <t>&gt;=58000</t>
  </si>
  <si>
    <t>&gt;=6300</t>
  </si>
  <si>
    <t>&gt;=76000</t>
  </si>
  <si>
    <t>&gt;=230</t>
  </si>
  <si>
    <t>&gt;=800</t>
  </si>
  <si>
    <t>&gt;=17000</t>
  </si>
  <si>
    <t>K01-LN-1</t>
  </si>
  <si>
    <t>&gt;=1100</t>
  </si>
  <si>
    <t>&gt;=2100</t>
  </si>
  <si>
    <t>&gt;=51000</t>
  </si>
  <si>
    <t>&lt;7.7</t>
  </si>
  <si>
    <t>&gt;=33000</t>
  </si>
  <si>
    <t>&gt;=9100</t>
  </si>
  <si>
    <t>&gt;=3e+06</t>
  </si>
  <si>
    <t>&gt;=1400</t>
  </si>
  <si>
    <t>&gt;=1860</t>
  </si>
  <si>
    <t>&gt;=9600</t>
  </si>
  <si>
    <t>&gt;=600</t>
  </si>
  <si>
    <t>&gt;=4500</t>
  </si>
  <si>
    <t>&gt;=130</t>
  </si>
  <si>
    <t>&gt;=41000</t>
  </si>
  <si>
    <t>&gt;=1800</t>
  </si>
  <si>
    <t>&gt;=6000</t>
  </si>
  <si>
    <t>&gt;=5200000</t>
  </si>
  <si>
    <t>&gt;=89000</t>
  </si>
  <si>
    <t>&gt;=982</t>
  </si>
  <si>
    <t>&gt;=9900</t>
  </si>
  <si>
    <t>&gt;=260</t>
  </si>
  <si>
    <t>&gt;=55000</t>
  </si>
  <si>
    <t>&gt;=500</t>
  </si>
  <si>
    <t>&gt;=68000</t>
  </si>
  <si>
    <t>&gt;=1610</t>
  </si>
  <si>
    <t>&lt;0.3</t>
  </si>
  <si>
    <t>&gt;=1760</t>
  </si>
  <si>
    <t>&gt;=990</t>
  </si>
  <si>
    <t>&gt;=38000</t>
  </si>
  <si>
    <t>&gt;=6600</t>
  </si>
  <si>
    <t>&gt;=150000</t>
  </si>
  <si>
    <t>&gt;=140</t>
  </si>
  <si>
    <t>&gt;=3800</t>
  </si>
  <si>
    <t>&gt;=16200</t>
  </si>
  <si>
    <t>&gt;=14600</t>
  </si>
  <si>
    <t>&gt;=1380</t>
  </si>
  <si>
    <t>&gt;=37000</t>
  </si>
  <si>
    <t>&gt;=6400</t>
  </si>
  <si>
    <t>&gt;=1020</t>
  </si>
  <si>
    <t>&gt;=40000</t>
  </si>
  <si>
    <t>Project</t>
  </si>
  <si>
    <t>Program</t>
  </si>
  <si>
    <t>Location</t>
  </si>
  <si>
    <t>Collect Time</t>
  </si>
  <si>
    <t>Cancellation Code</t>
  </si>
  <si>
    <t>Comment</t>
  </si>
  <si>
    <t>SDR</t>
  </si>
  <si>
    <t>SDRDRYODM</t>
  </si>
  <si>
    <t>M01-060-3</t>
  </si>
  <si>
    <t>12:00</t>
  </si>
  <si>
    <t>Not collected-see notes</t>
  </si>
  <si>
    <t xml:space="preserve">will sample for CHWSRS </t>
  </si>
  <si>
    <t>10:05</t>
  </si>
  <si>
    <t xml:space="preserve">Will sample after dissipator is cleaned out (O and M has confirmed dissipator will be drained and sediment cleaned out on 9/14/2021). </t>
  </si>
  <si>
    <t>09:48</t>
  </si>
  <si>
    <t>10:00</t>
  </si>
  <si>
    <t>L04-136-1</t>
  </si>
  <si>
    <t>10:54</t>
  </si>
  <si>
    <t>J01-9273-1</t>
  </si>
  <si>
    <t>08:13</t>
  </si>
  <si>
    <t>10:19</t>
  </si>
  <si>
    <t>09:54</t>
  </si>
  <si>
    <t>11:54</t>
  </si>
  <si>
    <t>07:36</t>
  </si>
  <si>
    <t>08:54</t>
  </si>
  <si>
    <t>L01-727-1</t>
  </si>
  <si>
    <t>10:40</t>
  </si>
  <si>
    <t>09:45</t>
  </si>
  <si>
    <t>10:23</t>
  </si>
  <si>
    <t>08:46</t>
  </si>
  <si>
    <t>09:24</t>
  </si>
  <si>
    <t>10:02</t>
  </si>
  <si>
    <t>10:09</t>
  </si>
  <si>
    <t>10:30</t>
  </si>
  <si>
    <t>10:50</t>
  </si>
  <si>
    <t>10:55</t>
  </si>
  <si>
    <t>11:14</t>
  </si>
  <si>
    <t>11:53</t>
  </si>
  <si>
    <t>12:05</t>
  </si>
  <si>
    <t>LANE</t>
  </si>
  <si>
    <t>12:31</t>
  </si>
  <si>
    <t>07:34</t>
  </si>
  <si>
    <t>07:52</t>
  </si>
  <si>
    <t>08:07</t>
  </si>
  <si>
    <t>08:25</t>
  </si>
  <si>
    <t>09:04</t>
  </si>
  <si>
    <t>09:13</t>
  </si>
  <si>
    <t>09:16</t>
  </si>
  <si>
    <t>09:21</t>
  </si>
  <si>
    <t>11:15</t>
  </si>
  <si>
    <t>12:35</t>
  </si>
  <si>
    <t>07:50</t>
  </si>
  <si>
    <t>08:57</t>
  </si>
  <si>
    <t>09:10</t>
  </si>
  <si>
    <t>09:35</t>
  </si>
  <si>
    <t>10:39</t>
  </si>
  <si>
    <t>11:11</t>
  </si>
  <si>
    <t>11:44</t>
  </si>
  <si>
    <t>07:24</t>
  </si>
  <si>
    <t>08:20</t>
  </si>
  <si>
    <t>08:58</t>
  </si>
  <si>
    <t>09:34</t>
  </si>
  <si>
    <t>10:56</t>
  </si>
  <si>
    <t>11:21</t>
  </si>
  <si>
    <t>09:09</t>
  </si>
  <si>
    <t>10:26</t>
  </si>
  <si>
    <t>10:43</t>
  </si>
  <si>
    <t>11:06</t>
  </si>
  <si>
    <t>08:35</t>
  </si>
  <si>
    <t>08:47</t>
  </si>
  <si>
    <t>09:58</t>
  </si>
  <si>
    <t>LANTu1</t>
  </si>
  <si>
    <t>10:07</t>
  </si>
  <si>
    <t>08:28</t>
  </si>
  <si>
    <t>09:51</t>
  </si>
  <si>
    <t>10:03</t>
  </si>
  <si>
    <t>10:12</t>
  </si>
  <si>
    <t>11:20</t>
  </si>
  <si>
    <t>10:46</t>
  </si>
  <si>
    <t>09:19</t>
  </si>
  <si>
    <t>09:31</t>
  </si>
  <si>
    <t>10:22</t>
  </si>
  <si>
    <t>11:07</t>
  </si>
  <si>
    <t>12:02</t>
  </si>
  <si>
    <t>13:35</t>
  </si>
  <si>
    <t>07:43</t>
  </si>
  <si>
    <t>08:56</t>
  </si>
  <si>
    <t>09:40</t>
  </si>
  <si>
    <t>09:49</t>
  </si>
  <si>
    <t>10:25</t>
  </si>
  <si>
    <t>10:59</t>
  </si>
  <si>
    <t>10:01</t>
  </si>
  <si>
    <t>10:06</t>
  </si>
  <si>
    <t>11:02</t>
  </si>
  <si>
    <t>11:40</t>
  </si>
  <si>
    <t>08:27</t>
  </si>
  <si>
    <t>09:46</t>
  </si>
  <si>
    <t>10:17</t>
  </si>
  <si>
    <t>10:57</t>
  </si>
  <si>
    <t>08:19</t>
  </si>
  <si>
    <t>09:26</t>
  </si>
  <si>
    <t>10:47</t>
  </si>
  <si>
    <t>10:53</t>
  </si>
  <si>
    <t>09:39</t>
  </si>
  <si>
    <t>Station Name (from previous monitoring programs)</t>
  </si>
  <si>
    <t>Aliso Viejo</t>
  </si>
  <si>
    <t>J01P28</t>
  </si>
  <si>
    <t>J01P27</t>
  </si>
  <si>
    <t>County of Orange</t>
  </si>
  <si>
    <t>L01S04</t>
  </si>
  <si>
    <t>Dana Point</t>
  </si>
  <si>
    <t xml:space="preserve">L01-727-1 </t>
  </si>
  <si>
    <t>L01-DP</t>
  </si>
  <si>
    <t>Laguna Beach</t>
  </si>
  <si>
    <t>SCNK01</t>
  </si>
  <si>
    <t>Laguna Niguel</t>
  </si>
  <si>
    <t>K01P07</t>
  </si>
  <si>
    <t>J01P24</t>
  </si>
  <si>
    <t>J01P25</t>
  </si>
  <si>
    <t>J01ASVM</t>
  </si>
  <si>
    <t>Laguna Woods</t>
  </si>
  <si>
    <t xml:space="preserve">J01-9273-1 </t>
  </si>
  <si>
    <t>Lake Forest</t>
  </si>
  <si>
    <t>J01-Norm</t>
  </si>
  <si>
    <t xml:space="preserve">J01-9046-2 </t>
  </si>
  <si>
    <t>J01-9046-2 (J01-Norm)</t>
  </si>
  <si>
    <t>Mission Viejo</t>
  </si>
  <si>
    <t>L03P16</t>
  </si>
  <si>
    <t>L03P12</t>
  </si>
  <si>
    <t>L04-266-4</t>
  </si>
  <si>
    <t>L04P07</t>
  </si>
  <si>
    <t>Rancho Santa Margarita</t>
  </si>
  <si>
    <t>L11P01</t>
  </si>
  <si>
    <t>L02P26</t>
  </si>
  <si>
    <t>L08TBN2</t>
  </si>
  <si>
    <t>San Clemente</t>
  </si>
  <si>
    <t>M01S01</t>
  </si>
  <si>
    <t>M02P06</t>
  </si>
  <si>
    <t>San Juan Capistrano</t>
  </si>
  <si>
    <t>L02P02</t>
  </si>
  <si>
    <t>L01S06</t>
  </si>
  <si>
    <t>LC02-11508-2</t>
  </si>
  <si>
    <t>LC06-11019-1</t>
  </si>
  <si>
    <t>LC01-11446-1</t>
  </si>
  <si>
    <t>L01-728-3 (L01S02)</t>
  </si>
  <si>
    <t xml:space="preserve">L01-728-3 </t>
  </si>
  <si>
    <t>K01-12159-3</t>
  </si>
  <si>
    <t>K01-12126-1 (K01S01)</t>
  </si>
  <si>
    <t>K01-12126-1</t>
  </si>
  <si>
    <t>Facility Identifier</t>
  </si>
  <si>
    <t>Receiving Water</t>
  </si>
  <si>
    <t>Beneficial Use</t>
  </si>
  <si>
    <t>Canada Gobernadora</t>
  </si>
  <si>
    <t>Existing Beneficial Use</t>
  </si>
  <si>
    <t>Dairy Fork</t>
  </si>
  <si>
    <t xml:space="preserve">Arroyo Trabuco </t>
  </si>
  <si>
    <t>Horno Creek</t>
  </si>
  <si>
    <t>Oso Creek</t>
  </si>
  <si>
    <t>Aliso Creek</t>
  </si>
  <si>
    <t>La Paz Channel</t>
  </si>
  <si>
    <t xml:space="preserve">Oso Creek </t>
  </si>
  <si>
    <t xml:space="preserve">Aliso Creek </t>
  </si>
  <si>
    <t>Potential Beneficial Use</t>
  </si>
  <si>
    <t xml:space="preserve">Salt Creek </t>
  </si>
  <si>
    <t>Barbara's Lake</t>
  </si>
  <si>
    <t>Not in Basin Plan</t>
  </si>
  <si>
    <t>Tijeras Creek</t>
  </si>
  <si>
    <t>Bell Creek</t>
  </si>
  <si>
    <t xml:space="preserve">San Juan Creek </t>
  </si>
  <si>
    <t>Pacific Ocean</t>
  </si>
  <si>
    <t>Sulphur Creek</t>
  </si>
  <si>
    <t xml:space="preserve">Blue Bird Canyon </t>
  </si>
  <si>
    <t>Laguna Canyon Coastal Streams</t>
  </si>
  <si>
    <t>Salt Creek</t>
  </si>
  <si>
    <t>Segunda DeShecha</t>
  </si>
  <si>
    <t>Prima DeShecha</t>
  </si>
  <si>
    <t>unnamed intermittent coastal streams</t>
  </si>
  <si>
    <t>Dana Point Harbor</t>
  </si>
  <si>
    <t>Segunda Deshecha</t>
  </si>
  <si>
    <t>Prima Deshecha</t>
  </si>
  <si>
    <t>LC06</t>
  </si>
  <si>
    <t>LC01</t>
  </si>
  <si>
    <t>LC02</t>
  </si>
  <si>
    <t>Table D-7 (Dry weather)</t>
  </si>
  <si>
    <t>Table C-3 and C-4 (Dry Weather)</t>
  </si>
  <si>
    <t>D-6 (Wet Weather)</t>
  </si>
  <si>
    <t>Table D-2</t>
  </si>
  <si>
    <t>Table C-5 (Wet Weather)</t>
  </si>
  <si>
    <t>Dry Weather MS4 Outfall Discharge Monitoring – Grab Samples*</t>
  </si>
  <si>
    <t>Parameter Type</t>
  </si>
  <si>
    <t>Parameter Group</t>
  </si>
  <si>
    <t>Parameter</t>
  </si>
  <si>
    <t>Determine which persistent non-stormwater discharges contain concentrations of pollutants above non-stormwater action levels (NALS) (Permit Prov. C.1)</t>
  </si>
  <si>
    <r>
      <t>pH</t>
    </r>
    <r>
      <rPr>
        <vertAlign val="superscript"/>
        <sz val="11"/>
        <color theme="1"/>
        <rFont val="Book Antiqua"/>
        <family val="1"/>
      </rPr>
      <t>1</t>
    </r>
  </si>
  <si>
    <t>x</t>
  </si>
  <si>
    <t>Determine the relative contribution of MS4 outfalls to priority water qualtiy conditions during dry weather</t>
  </si>
  <si>
    <r>
      <t>Temperature</t>
    </r>
    <r>
      <rPr>
        <vertAlign val="superscript"/>
        <sz val="11"/>
        <color theme="1"/>
        <rFont val="Book Antiqua"/>
        <family val="1"/>
      </rPr>
      <t>2</t>
    </r>
  </si>
  <si>
    <t xml:space="preserve">Investigate the sources of persistent non-stormwater flows </t>
  </si>
  <si>
    <r>
      <t>Specific Conductivity</t>
    </r>
    <r>
      <rPr>
        <vertAlign val="superscript"/>
        <sz val="11"/>
        <color theme="1"/>
        <rFont val="Book Antiqua"/>
        <family val="1"/>
      </rPr>
      <t>2</t>
    </r>
  </si>
  <si>
    <r>
      <t>Dissolved Oxygen</t>
    </r>
    <r>
      <rPr>
        <vertAlign val="superscript"/>
        <sz val="11"/>
        <color theme="1"/>
        <rFont val="Book Antiqua"/>
        <family val="1"/>
      </rPr>
      <t>1</t>
    </r>
  </si>
  <si>
    <r>
      <t>Turbidity</t>
    </r>
    <r>
      <rPr>
        <vertAlign val="superscript"/>
        <sz val="11"/>
        <color theme="1"/>
        <rFont val="Book Antiqua"/>
        <family val="1"/>
      </rPr>
      <t>1,3</t>
    </r>
  </si>
  <si>
    <t>https://public.tableau.com/profile/suzan.given#!/vizhome/Outfalls_StormData/StormJanuary-March2018?publish=yes</t>
  </si>
  <si>
    <t>Laboratory Analytes</t>
  </si>
  <si>
    <t>Conventional</t>
  </si>
  <si>
    <r>
      <t>Chloride</t>
    </r>
    <r>
      <rPr>
        <vertAlign val="superscript"/>
        <sz val="11"/>
        <color theme="1"/>
        <rFont val="Book Antiqua"/>
        <family val="1"/>
      </rPr>
      <t>3</t>
    </r>
  </si>
  <si>
    <r>
      <t>Total Dissolved Solids</t>
    </r>
    <r>
      <rPr>
        <vertAlign val="superscript"/>
        <sz val="11"/>
        <color theme="1"/>
        <rFont val="Book Antiqua"/>
        <family val="1"/>
      </rPr>
      <t>2,3</t>
    </r>
  </si>
  <si>
    <r>
      <t>Total Suspended Solids</t>
    </r>
    <r>
      <rPr>
        <vertAlign val="superscript"/>
        <sz val="11"/>
        <color theme="1"/>
        <rFont val="Book Antiqua"/>
        <family val="1"/>
      </rPr>
      <t>2</t>
    </r>
    <r>
      <rPr>
        <sz val="11"/>
        <color theme="1"/>
        <rFont val="Book Antiqua"/>
        <family val="1"/>
      </rPr>
      <t xml:space="preserve"> </t>
    </r>
  </si>
  <si>
    <r>
      <t>Total Hardness</t>
    </r>
    <r>
      <rPr>
        <vertAlign val="superscript"/>
        <sz val="11"/>
        <color theme="1"/>
        <rFont val="Book Antiqua"/>
        <family val="1"/>
      </rPr>
      <t>2</t>
    </r>
  </si>
  <si>
    <r>
      <t>Sulfate</t>
    </r>
    <r>
      <rPr>
        <vertAlign val="superscript"/>
        <sz val="11"/>
        <color theme="1"/>
        <rFont val="Book Antiqua"/>
        <family val="1"/>
      </rPr>
      <t>3</t>
    </r>
  </si>
  <si>
    <r>
      <t>MBAS</t>
    </r>
    <r>
      <rPr>
        <vertAlign val="superscript"/>
        <sz val="11"/>
        <color theme="1"/>
        <rFont val="Book Antiqua"/>
        <family val="1"/>
      </rPr>
      <t>1</t>
    </r>
  </si>
  <si>
    <t>Metals (Total and Dissolved)</t>
  </si>
  <si>
    <r>
      <t>Cadmium</t>
    </r>
    <r>
      <rPr>
        <vertAlign val="superscript"/>
        <sz val="11"/>
        <color theme="1"/>
        <rFont val="Book Antiqua"/>
        <family val="1"/>
      </rPr>
      <t>1,2,3</t>
    </r>
  </si>
  <si>
    <r>
      <t>Chromium III</t>
    </r>
    <r>
      <rPr>
        <vertAlign val="superscript"/>
        <sz val="11"/>
        <color theme="1"/>
        <rFont val="Book Antiqua"/>
        <family val="1"/>
      </rPr>
      <t>1</t>
    </r>
  </si>
  <si>
    <r>
      <t>Chromium VI</t>
    </r>
    <r>
      <rPr>
        <vertAlign val="superscript"/>
        <sz val="11"/>
        <color theme="1"/>
        <rFont val="Book Antiqua"/>
        <family val="1"/>
      </rPr>
      <t>1</t>
    </r>
  </si>
  <si>
    <r>
      <t>Copper</t>
    </r>
    <r>
      <rPr>
        <vertAlign val="superscript"/>
        <sz val="11"/>
        <color theme="1"/>
        <rFont val="Book Antiqua"/>
        <family val="1"/>
      </rPr>
      <t>1,2,3</t>
    </r>
  </si>
  <si>
    <r>
      <t>Iron</t>
    </r>
    <r>
      <rPr>
        <vertAlign val="superscript"/>
        <sz val="11"/>
        <color theme="1"/>
        <rFont val="Book Antiqua"/>
        <family val="1"/>
      </rPr>
      <t>1</t>
    </r>
  </si>
  <si>
    <r>
      <t>Lead</t>
    </r>
    <r>
      <rPr>
        <vertAlign val="superscript"/>
        <sz val="11"/>
        <color theme="1"/>
        <rFont val="Book Antiqua"/>
        <family val="1"/>
      </rPr>
      <t>1,2</t>
    </r>
  </si>
  <si>
    <r>
      <t>Manganese</t>
    </r>
    <r>
      <rPr>
        <vertAlign val="superscript"/>
        <sz val="11"/>
        <color theme="1"/>
        <rFont val="Book Antiqua"/>
        <family val="1"/>
      </rPr>
      <t>1</t>
    </r>
  </si>
  <si>
    <r>
      <t>Nickel</t>
    </r>
    <r>
      <rPr>
        <vertAlign val="superscript"/>
        <sz val="11"/>
        <color theme="1"/>
        <rFont val="Book Antiqua"/>
        <family val="1"/>
      </rPr>
      <t>1,3</t>
    </r>
  </si>
  <si>
    <r>
      <t>Selenium</t>
    </r>
    <r>
      <rPr>
        <vertAlign val="superscript"/>
        <sz val="11"/>
        <color theme="1"/>
        <rFont val="Book Antiqua"/>
        <family val="1"/>
      </rPr>
      <t>3</t>
    </r>
  </si>
  <si>
    <r>
      <t>Silver</t>
    </r>
    <r>
      <rPr>
        <vertAlign val="superscript"/>
        <sz val="11"/>
        <color theme="1"/>
        <rFont val="Book Antiqua"/>
        <family val="1"/>
      </rPr>
      <t>1</t>
    </r>
  </si>
  <si>
    <r>
      <t>Zinc</t>
    </r>
    <r>
      <rPr>
        <vertAlign val="superscript"/>
        <sz val="11"/>
        <color theme="1"/>
        <rFont val="Book Antiqua"/>
        <family val="1"/>
      </rPr>
      <t>1,2,3</t>
    </r>
  </si>
  <si>
    <r>
      <t>Total Phosphorus</t>
    </r>
    <r>
      <rPr>
        <vertAlign val="superscript"/>
        <sz val="11"/>
        <color theme="1"/>
        <rFont val="Book Antiqua"/>
        <family val="1"/>
      </rPr>
      <t>1,2,3</t>
    </r>
  </si>
  <si>
    <r>
      <t>Orthophosphate</t>
    </r>
    <r>
      <rPr>
        <vertAlign val="superscript"/>
        <sz val="11"/>
        <color theme="1"/>
        <rFont val="Book Antiqua"/>
        <family val="1"/>
      </rPr>
      <t>2</t>
    </r>
  </si>
  <si>
    <r>
      <t>Nitrate</t>
    </r>
    <r>
      <rPr>
        <vertAlign val="superscript"/>
        <sz val="11"/>
        <color theme="1"/>
        <rFont val="Book Antiqua"/>
        <family val="1"/>
      </rPr>
      <t>2</t>
    </r>
  </si>
  <si>
    <r>
      <t>Nitrite</t>
    </r>
    <r>
      <rPr>
        <vertAlign val="superscript"/>
        <sz val="11"/>
        <color theme="1"/>
        <rFont val="Book Antiqua"/>
        <family val="1"/>
      </rPr>
      <t>2</t>
    </r>
  </si>
  <si>
    <r>
      <t>Total Nitrogen as N</t>
    </r>
    <r>
      <rPr>
        <vertAlign val="superscript"/>
        <sz val="11"/>
        <color theme="1"/>
        <rFont val="Book Antiqua"/>
        <family val="1"/>
      </rPr>
      <t>1,3</t>
    </r>
  </si>
  <si>
    <r>
      <t>Total Kjeldahl Nitrogen</t>
    </r>
    <r>
      <rPr>
        <vertAlign val="superscript"/>
        <sz val="11"/>
        <color theme="1"/>
        <rFont val="Book Antiqua"/>
        <family val="1"/>
      </rPr>
      <t>2</t>
    </r>
  </si>
  <si>
    <r>
      <t>Ammonia</t>
    </r>
    <r>
      <rPr>
        <vertAlign val="superscript"/>
        <sz val="11"/>
        <color theme="1"/>
        <rFont val="Book Antiqua"/>
        <family val="1"/>
      </rPr>
      <t>2</t>
    </r>
  </si>
  <si>
    <r>
      <t>Indicator Bacteria</t>
    </r>
    <r>
      <rPr>
        <vertAlign val="superscript"/>
        <sz val="11"/>
        <color theme="1"/>
        <rFont val="Book Antiqua"/>
        <family val="1"/>
      </rPr>
      <t>1,2,3</t>
    </r>
  </si>
  <si>
    <r>
      <t>Polycyclic Aromatic Hydrocarbons</t>
    </r>
    <r>
      <rPr>
        <vertAlign val="superscript"/>
        <sz val="11"/>
        <color theme="1"/>
        <rFont val="Book Antiqua"/>
        <family val="1"/>
      </rPr>
      <t>3</t>
    </r>
  </si>
  <si>
    <r>
      <t>Organophosphate Pesticides</t>
    </r>
    <r>
      <rPr>
        <vertAlign val="superscript"/>
        <sz val="11"/>
        <color theme="1"/>
        <rFont val="Book Antiqua"/>
        <family val="1"/>
      </rPr>
      <t>3</t>
    </r>
  </si>
  <si>
    <r>
      <t>Organochlorine Pesticides</t>
    </r>
    <r>
      <rPr>
        <vertAlign val="superscript"/>
        <sz val="11"/>
        <color theme="1"/>
        <rFont val="Book Antiqua"/>
        <family val="1"/>
      </rPr>
      <t>3</t>
    </r>
  </si>
  <si>
    <t>DDE</t>
  </si>
  <si>
    <t>Notes:</t>
  </si>
  <si>
    <t>* - Applicable when measurable flow is present; grab or composite samples will be collected.</t>
  </si>
  <si>
    <t>1 – Permit Provision C.1 parameter</t>
  </si>
  <si>
    <t>2 – Permit Provision D.2.b parameter.</t>
  </si>
  <si>
    <t>3 – 303(d) Listed constituent.</t>
  </si>
  <si>
    <t>https://www.waterboards.ca.gov/water_issues/programs/tmdl/integrated2014_2016.shtml</t>
  </si>
  <si>
    <t>Inspection Date</t>
  </si>
  <si>
    <t>Flow Condition</t>
  </si>
  <si>
    <t>Flow Velocity (Sec. / 6 Feet)</t>
  </si>
  <si>
    <t>Flow Width</t>
  </si>
  <si>
    <t>Flow Depth</t>
  </si>
  <si>
    <t>Q</t>
  </si>
  <si>
    <t>Q (flow meter)</t>
  </si>
  <si>
    <t>Method</t>
  </si>
  <si>
    <t>Flowing</t>
  </si>
  <si>
    <t>Pooled or Ponded</t>
  </si>
  <si>
    <t>not detected</t>
  </si>
  <si>
    <t>Dry</t>
  </si>
  <si>
    <t>d10-Acenaphthene - ng/L</t>
  </si>
  <si>
    <t>d10-Phenanthrene - ng/L</t>
  </si>
  <si>
    <t>d12-Chrysene - ng/L</t>
  </si>
  <si>
    <t>d12-Perylene - ng/L</t>
  </si>
  <si>
    <t>d8-Naphthalene - ng/L</t>
  </si>
  <si>
    <t>PCB030 - ng/L</t>
  </si>
  <si>
    <t>PCB112 - ng/L</t>
  </si>
  <si>
    <t>PCB198 - ng/L</t>
  </si>
  <si>
    <t>TCMX - ng/L</t>
  </si>
  <si>
    <t>2,4'-DDD - ng/L</t>
  </si>
  <si>
    <t>2,4'-DDE - ng/L</t>
  </si>
  <si>
    <t>2,4'-DDT - ng/L</t>
  </si>
  <si>
    <t>4,4'-DDD - ng/L</t>
  </si>
  <si>
    <t>4,4'-DDE - ng/L</t>
  </si>
  <si>
    <t>4,4'-DDT - ng/L</t>
  </si>
  <si>
    <t>Acenaphthene - ng/L</t>
  </si>
  <si>
    <t>Acenaphthylene - ng/L</t>
  </si>
  <si>
    <t>Aldrin - ng/L</t>
  </si>
  <si>
    <t>Anthracene - ng/L</t>
  </si>
  <si>
    <t>Azinphos Methyl - ng/L</t>
  </si>
  <si>
    <t>Benz[a]anthracene - ng/L</t>
  </si>
  <si>
    <t>Benzo[a]pyrene - ng/L</t>
  </si>
  <si>
    <t>Benzo[b]fluoranthene - ng/L</t>
  </si>
  <si>
    <t>Benzo[g,h,i]perylene - ng/L</t>
  </si>
  <si>
    <t>Benzo[k]fluoranthene - ng/L</t>
  </si>
  <si>
    <t>BHC-alpha - ng/L</t>
  </si>
  <si>
    <t>BHC-beta - ng/L</t>
  </si>
  <si>
    <t>BHC-delta - ng/L</t>
  </si>
  <si>
    <t>BHC-gamma - ng/L</t>
  </si>
  <si>
    <t>Biphenyl - ng/L</t>
  </si>
  <si>
    <t>Bolstar (Sulprofos) - ng/L</t>
  </si>
  <si>
    <t>Chlordane-alpha - ng/L</t>
  </si>
  <si>
    <t>Chlordane-gamma - ng/L</t>
  </si>
  <si>
    <t>Chlorpyrifos - ng/L</t>
  </si>
  <si>
    <t>Chrysene - ng/L</t>
  </si>
  <si>
    <t>Demeton - ng/L</t>
  </si>
  <si>
    <t>Diazinon - ng/L</t>
  </si>
  <si>
    <t>Dibenz[a,h]anthracene - ng/L</t>
  </si>
  <si>
    <t>Dibenzothiophene - ng/L</t>
  </si>
  <si>
    <t>Dichlorvos - ng/L</t>
  </si>
  <si>
    <t>Dieldrin - ng/L</t>
  </si>
  <si>
    <t>Dimethoate - ng/L</t>
  </si>
  <si>
    <t>Disulfoton - ng/L</t>
  </si>
  <si>
    <t>Endosulfan-I - ng/L</t>
  </si>
  <si>
    <t>Endosulfan-II - ng/L</t>
  </si>
  <si>
    <t>Endosulfan Sulfate - ng/L</t>
  </si>
  <si>
    <t>Endrin - ng/L</t>
  </si>
  <si>
    <t>Endrin Aldehyde - ng/L</t>
  </si>
  <si>
    <t>Ethoprop (Ethoprofos) - ng/L</t>
  </si>
  <si>
    <t>Ethyl Parathion - ng/L</t>
  </si>
  <si>
    <t>Fenchlorphos (Ronnel) - ng/L</t>
  </si>
  <si>
    <t>Fensulfothion - ng/L</t>
  </si>
  <si>
    <t>Fenthion - ng/L</t>
  </si>
  <si>
    <t>Fluoranthene - ng/L</t>
  </si>
  <si>
    <t>Fluorene - ng/L</t>
  </si>
  <si>
    <t>Heptachlor - ng/L</t>
  </si>
  <si>
    <t>Heptachlor Epoxide - ng/L</t>
  </si>
  <si>
    <t>Indeno[1,2,3-cd]pyrene - ng/L</t>
  </si>
  <si>
    <t>Malathion - ng/L</t>
  </si>
  <si>
    <t>Merphos - ng/L</t>
  </si>
  <si>
    <t>Methoxychlor - ng/L</t>
  </si>
  <si>
    <t>Methyl Parathion - ng/L</t>
  </si>
  <si>
    <t>Mevinphos (Phosdrin) - ng/L</t>
  </si>
  <si>
    <t>Mirex - ng/L</t>
  </si>
  <si>
    <t>Naphthalene - ng/L</t>
  </si>
  <si>
    <t>Phenanthrene - ng/L</t>
  </si>
  <si>
    <t>Phorate - ng/L</t>
  </si>
  <si>
    <t>Pyrene - ng/L</t>
  </si>
  <si>
    <t>Tetrachlorvinphos (Stirofos) - ng/L</t>
  </si>
  <si>
    <t>Tokuthion (Prothiofos) - ng/L</t>
  </si>
  <si>
    <t>Toxaphene - ng/L</t>
  </si>
  <si>
    <t>trans-Nonachlor - ng/L</t>
  </si>
  <si>
    <t>Trichloronate - ng/L</t>
  </si>
  <si>
    <t>Arsenic, Total - ug/L</t>
  </si>
  <si>
    <t>Cadmium, Total - ug/L</t>
  </si>
  <si>
    <t>Calcium, Total - ug/L</t>
  </si>
  <si>
    <t>Chromium 6+ - ug/L</t>
  </si>
  <si>
    <t>Chromium, Total - ug/L</t>
  </si>
  <si>
    <t>Copper, Total - ug/L</t>
  </si>
  <si>
    <t>Dissolved Organic Carbon - ug/L</t>
  </si>
  <si>
    <t>Hardness as CaCO3, Total - ug/L</t>
  </si>
  <si>
    <t>Iron, Total - ug/L</t>
  </si>
  <si>
    <t>Lead, Total - ug/L</t>
  </si>
  <si>
    <t>Magnesium, Total - ug/L</t>
  </si>
  <si>
    <t>Manganese, Total - ug/L</t>
  </si>
  <si>
    <t>MBAS - mg/L</t>
  </si>
  <si>
    <t>Mercury, Total - ug/L</t>
  </si>
  <si>
    <t>Nickel, Total - ug/L</t>
  </si>
  <si>
    <t>Selenium, Total - ug/L</t>
  </si>
  <si>
    <t>Silver, Total - ug/L</t>
  </si>
  <si>
    <t>Thallium, Total - ug/L</t>
  </si>
  <si>
    <t>Total Organic Carbon (TOC) - mg/L</t>
  </si>
  <si>
    <t>Zinc, Total - ug/L</t>
  </si>
  <si>
    <t>Ammonia, as Nitrogen - mg/L</t>
  </si>
  <si>
    <t>Chloride - mg/L</t>
  </si>
  <si>
    <t>Nitrate + Nitrite as N - mg/L</t>
  </si>
  <si>
    <t>Nitrogen, Total Kjeldahl - mg/L</t>
  </si>
  <si>
    <t>Orthophosphate as P - mg/L</t>
  </si>
  <si>
    <t>Phosphorus as PO4 - mg/L</t>
  </si>
  <si>
    <t>Sulfate - mg/L</t>
  </si>
  <si>
    <t>Total Dissolved Solids - mg/L</t>
  </si>
  <si>
    <t>VSS - mg/L</t>
  </si>
  <si>
    <t>TSS - mg/L</t>
  </si>
  <si>
    <t>Turbidity - NTU</t>
  </si>
  <si>
    <t>E. coli - CFU/100 mL</t>
  </si>
  <si>
    <t>Enterococcus - CFU/100 mL</t>
  </si>
  <si>
    <t>Fecal coliforms - CFU/100 mL</t>
  </si>
  <si>
    <t>Total Coliforms - CFU/100 mL</t>
  </si>
  <si>
    <t>Field Turbidity - NTU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</si>
</sst>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m/d/yy\ h:mm;@"/>
    <numFmt numFmtId="166" formatCode="#,##0.0"/>
    <numFmt numFmtId="167" formatCode="#,##0.000"/>
    <numFmt numFmtId="168" formatCode="0.000"/>
    <numFmt numFmtId="169" formatCode="mm/dd/yyyy\ hh:mm"/>
    <numFmt numFmtId="170" formatCode="h:mm;@"/>
    <numFmt numFmtId="171" formatCode="yyyy\-mm\-dd\ h:mm:ss"/>
  </numFmts>
  <fonts count="68" x14ac:knownFonts="1">
    <font>
      <sz val="11"/>
      <color theme="1"/>
      <name val="Calibri"/>
      <family val="2"/>
      <scheme val="minor"/>
    </font>
    <font>
      <b/>
      <sz val="11"/>
      <color theme="0"/>
      <name val="Calibri"/>
      <family val="2"/>
      <scheme val="minor"/>
    </font>
    <font>
      <b/>
      <sz val="11"/>
      <color theme="1"/>
      <name val="Calibri"/>
      <family val="2"/>
      <scheme val="minor"/>
    </font>
    <font>
      <vertAlign val="superscript"/>
      <sz val="11"/>
      <color theme="1"/>
      <name val="Calibri"/>
      <family val="2"/>
      <scheme val="minor"/>
    </font>
    <font>
      <sz val="10"/>
      <color theme="1"/>
      <name val="Calibri"/>
      <family val="2"/>
      <scheme val="minor"/>
    </font>
    <font>
      <sz val="11"/>
      <color theme="1"/>
      <name val="Symbol"/>
      <family val="1"/>
      <charset val="2"/>
    </font>
    <font>
      <b/>
      <sz val="12"/>
      <color theme="1"/>
      <name val="Calibri"/>
      <family val="2"/>
      <scheme val="minor"/>
    </font>
    <font>
      <sz val="8"/>
      <color theme="1"/>
      <name val="Calibri"/>
      <family val="2"/>
      <scheme val="minor"/>
    </font>
    <font>
      <sz val="10"/>
      <name val="Arial"/>
      <family val="2"/>
    </font>
    <font>
      <sz val="11"/>
      <color theme="0"/>
      <name val="Calibri"/>
      <family val="2"/>
      <scheme val="minor"/>
    </font>
    <font>
      <u/>
      <sz val="11"/>
      <color theme="1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i/>
      <u/>
      <sz val="11"/>
      <color theme="1"/>
      <name val="Book Antiqua"/>
      <family val="1"/>
    </font>
    <font>
      <b/>
      <sz val="11"/>
      <color theme="1"/>
      <name val="Book Antiqua"/>
      <family val="1"/>
    </font>
    <font>
      <sz val="11"/>
      <color theme="1"/>
      <name val="Book Antiqua"/>
      <family val="1"/>
    </font>
    <font>
      <vertAlign val="superscript"/>
      <sz val="11"/>
      <color theme="1"/>
      <name val="Book Antiqua"/>
      <family val="1"/>
    </font>
    <font>
      <sz val="11"/>
      <color theme="1"/>
      <name val="Calibri"/>
      <family val="2"/>
    </font>
    <font>
      <sz val="8"/>
      <color theme="1"/>
      <name val="Book Antiqua"/>
      <family val="1"/>
    </font>
    <font>
      <sz val="10"/>
      <name val="MS Sans Serif"/>
      <family val="2"/>
    </font>
    <font>
      <sz val="10"/>
      <color rgb="FF000000"/>
      <name val="Calibri"/>
      <family val="2"/>
    </font>
    <font>
      <sz val="11"/>
      <color rgb="FF9C5700"/>
      <name val="Calibri"/>
      <family val="2"/>
      <scheme val="minor"/>
    </font>
    <font>
      <sz val="10"/>
      <name val="Arial"/>
      <family val="2"/>
    </font>
    <font>
      <sz val="10"/>
      <name val="Arial"/>
      <family val="2"/>
    </font>
    <font>
      <b/>
      <sz val="14"/>
      <color theme="1"/>
      <name val="Calibri"/>
      <family val="2"/>
      <scheme val="minor"/>
    </font>
    <font>
      <sz val="13"/>
      <color theme="1"/>
      <name val="Microsoft YaHei UI Light"/>
      <family val="2"/>
    </font>
    <font>
      <b/>
      <vertAlign val="superscript"/>
      <sz val="13"/>
      <color theme="1"/>
      <name val="Microsoft YaHei UI Light"/>
      <family val="2"/>
    </font>
    <font>
      <b/>
      <vertAlign val="superscript"/>
      <sz val="16"/>
      <color theme="1"/>
      <name val="Microsoft YaHei UI Light"/>
      <family val="2"/>
    </font>
    <font>
      <b/>
      <sz val="25"/>
      <color theme="1"/>
      <name val="Oswald"/>
    </font>
    <font>
      <sz val="18"/>
      <color theme="1"/>
      <name val="Microsoft YaHei UI Light"/>
      <family val="2"/>
    </font>
    <font>
      <b/>
      <sz val="18"/>
      <color theme="1"/>
      <name val="Microsoft YaHei UI Light"/>
      <family val="2"/>
    </font>
    <font>
      <b/>
      <sz val="18"/>
      <color theme="1"/>
      <name val="Lato"/>
      <family val="2"/>
    </font>
    <font>
      <sz val="18"/>
      <color theme="1"/>
      <name val="Lato"/>
      <family val="2"/>
    </font>
    <font>
      <b/>
      <i/>
      <sz val="18"/>
      <color theme="1"/>
      <name val="Lato"/>
      <family val="2"/>
    </font>
    <font>
      <sz val="18"/>
      <color rgb="FF000000"/>
      <name val="Lato"/>
      <family val="2"/>
    </font>
    <font>
      <sz val="18"/>
      <color rgb="FF000000"/>
      <name val="Calibri"/>
      <family val="2"/>
    </font>
    <font>
      <sz val="25"/>
      <color theme="1"/>
      <name val="Microsoft YaHei UI Light"/>
      <family val="2"/>
    </font>
    <font>
      <sz val="13"/>
      <color theme="1"/>
      <name val="Lato"/>
      <family val="2"/>
    </font>
    <font>
      <b/>
      <sz val="13"/>
      <color theme="1"/>
      <name val="Lato"/>
      <family val="2"/>
    </font>
    <font>
      <b/>
      <vertAlign val="superscript"/>
      <sz val="18"/>
      <name val="Lato"/>
      <family val="2"/>
    </font>
    <font>
      <vertAlign val="superscript"/>
      <sz val="18"/>
      <color theme="1"/>
      <name val="Lato"/>
      <family val="2"/>
    </font>
    <font>
      <sz val="25"/>
      <color theme="1"/>
      <name val="Oswald"/>
    </font>
    <font>
      <sz val="17"/>
      <color theme="1"/>
      <name val="Lato"/>
      <family val="2"/>
    </font>
    <font>
      <sz val="17"/>
      <name val="Lato"/>
      <family val="2"/>
    </font>
    <font>
      <vertAlign val="superscript"/>
      <sz val="17"/>
      <color theme="1"/>
      <name val="Lato"/>
      <family val="2"/>
    </font>
    <font>
      <b/>
      <sz val="17"/>
      <color theme="1"/>
      <name val="Lato"/>
      <family val="2"/>
    </font>
    <font>
      <sz val="18"/>
      <name val="Lato"/>
      <family val="2"/>
    </font>
    <font>
      <b/>
      <sz val="18"/>
      <name val="Lato"/>
      <family val="2"/>
    </font>
    <font>
      <i/>
      <sz val="18"/>
      <color theme="1"/>
      <name val="Lato"/>
      <family val="2"/>
    </font>
    <font>
      <sz val="8"/>
      <name val="Calibri"/>
      <family val="2"/>
      <scheme val="minor"/>
    </font>
    <font>
      <b/>
      <sz val="12"/>
      <name val="Calibri"/>
      <family val="2"/>
    </font>
    <font>
      <b/>
      <sz val="10"/>
      <color theme="1"/>
      <name val="Calibri"/>
      <family val="2"/>
      <scheme val="minor"/>
    </font>
    <font>
      <b/>
      <sz val="9"/>
      <color rgb="FF000000"/>
      <name val="Arial"/>
      <family val="2"/>
    </font>
    <font>
      <sz val="9"/>
      <color rgb="FF000000"/>
      <name val="Arial"/>
      <family val="2"/>
    </font>
    <font>
      <sz val="11"/>
      <color indexed="8"/>
      <name val="Calibri"/>
      <family val="2"/>
    </font>
    <font>
      <sz val="11"/>
      <color rgb="FF000000"/>
      <name val="Calibri"/>
      <family val="2"/>
    </font>
  </fonts>
  <fills count="50">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
      <patternFill patternType="solid">
        <fgColor theme="0" tint="-0.34998626667073579"/>
        <bgColor indexed="64"/>
      </patternFill>
    </fill>
    <fill>
      <patternFill patternType="solid">
        <fgColor theme="0" tint="-0.14996795556505021"/>
        <bgColor indexed="64"/>
      </patternFill>
    </fill>
    <fill>
      <patternFill patternType="solid">
        <fgColor rgb="FFFFFF00"/>
        <bgColor indexed="64"/>
      </patternFill>
    </fill>
    <fill>
      <patternFill patternType="solid">
        <fgColor rgb="FFFFFFFF"/>
        <bgColor indexed="64"/>
      </patternFill>
    </fill>
    <fill>
      <patternFill patternType="lightGray">
        <fgColor theme="0" tint="-0.14996795556505021"/>
        <bgColor indexed="65"/>
      </patternFill>
    </fill>
    <fill>
      <patternFill patternType="solid">
        <fgColor theme="1"/>
        <bgColor theme="1"/>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E6E6E6"/>
        <bgColor rgb="FFE6E6E6"/>
      </patternFill>
    </fill>
    <fill>
      <patternFill patternType="solid">
        <fgColor rgb="FFF0F0F0"/>
      </patternFill>
    </fill>
    <fill>
      <patternFill patternType="solid">
        <fgColor theme="6" tint="0.79998168889431442"/>
        <bgColor indexed="64"/>
      </patternFill>
    </fill>
  </fills>
  <borders count="1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style="thin">
        <color theme="0" tint="-0.34998626667073579"/>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1" tint="0.34998626667073579"/>
      </left>
      <right style="thin">
        <color theme="0" tint="-0.34998626667073579"/>
      </right>
      <top/>
      <bottom/>
      <diagonal/>
    </border>
    <border>
      <left style="thin">
        <color theme="0" tint="-0.34998626667073579"/>
      </left>
      <right style="medium">
        <color theme="1" tint="0.34998626667073579"/>
      </right>
      <top/>
      <bottom/>
      <diagonal/>
    </border>
    <border>
      <left/>
      <right style="thin">
        <color theme="0" tint="-0.34998626667073579"/>
      </right>
      <top/>
      <bottom/>
      <diagonal/>
    </border>
    <border>
      <left/>
      <right/>
      <top style="thick">
        <color auto="1"/>
      </top>
      <bottom style="medium">
        <color theme="2" tint="-0.24994659260841701"/>
      </bottom>
      <diagonal/>
    </border>
    <border>
      <left style="thin">
        <color theme="0" tint="-0.34998626667073579"/>
      </left>
      <right style="thin">
        <color theme="0" tint="-0.34998626667073579"/>
      </right>
      <top style="thick">
        <color auto="1"/>
      </top>
      <bottom/>
      <diagonal/>
    </border>
    <border>
      <left style="medium">
        <color theme="1" tint="0.34998626667073579"/>
      </left>
      <right style="thin">
        <color theme="0" tint="-0.34998626667073579"/>
      </right>
      <top style="thick">
        <color auto="1"/>
      </top>
      <bottom style="medium">
        <color theme="2" tint="-0.24994659260841701"/>
      </bottom>
      <diagonal/>
    </border>
    <border>
      <left style="thin">
        <color theme="0" tint="-0.34998626667073579"/>
      </left>
      <right style="thin">
        <color theme="0" tint="-0.34998626667073579"/>
      </right>
      <top style="thick">
        <color auto="1"/>
      </top>
      <bottom style="medium">
        <color theme="2" tint="-0.24994659260841701"/>
      </bottom>
      <diagonal/>
    </border>
    <border>
      <left style="thin">
        <color theme="0" tint="-0.34998626667073579"/>
      </left>
      <right style="medium">
        <color theme="1" tint="0.34998626667073579"/>
      </right>
      <top style="thick">
        <color auto="1"/>
      </top>
      <bottom style="medium">
        <color theme="2" tint="-0.24994659260841701"/>
      </bottom>
      <diagonal/>
    </border>
    <border>
      <left/>
      <right/>
      <top style="medium">
        <color rgb="FF7F7F7F"/>
      </top>
      <bottom/>
      <diagonal/>
    </border>
    <border>
      <left/>
      <right/>
      <top style="medium">
        <color rgb="FF7F7F7F"/>
      </top>
      <bottom style="medium">
        <color rgb="FF7F7F7F"/>
      </bottom>
      <diagonal/>
    </border>
    <border>
      <left/>
      <right/>
      <top/>
      <bottom style="medium">
        <color rgb="FF7F7F7F"/>
      </bottom>
      <diagonal/>
    </border>
    <border>
      <left/>
      <right/>
      <top style="medium">
        <color indexed="64"/>
      </top>
      <bottom/>
      <diagonal/>
    </border>
    <border>
      <left/>
      <right style="thin">
        <color theme="0" tint="-0.24994659260841701"/>
      </right>
      <top style="thin">
        <color theme="0" tint="-0.24994659260841701"/>
      </top>
      <bottom style="thin">
        <color theme="0" tint="-0.24994659260841701"/>
      </bottom>
      <diagonal/>
    </border>
    <border>
      <left/>
      <right style="medium">
        <color indexed="64"/>
      </right>
      <top style="medium">
        <color indexed="64"/>
      </top>
      <bottom/>
      <diagonal/>
    </border>
    <border>
      <left/>
      <right style="thin">
        <color theme="0" tint="-0.24994659260841701"/>
      </right>
      <top/>
      <bottom style="thin">
        <color theme="0" tint="-0.24994659260841701"/>
      </bottom>
      <diagonal/>
    </border>
    <border>
      <left/>
      <right/>
      <top/>
      <bottom style="thin">
        <color theme="0" tint="-0.24994659260841701"/>
      </bottom>
      <diagonal/>
    </border>
    <border>
      <left style="medium">
        <color theme="0" tint="-0.34998626667073579"/>
      </left>
      <right style="medium">
        <color theme="0" tint="-0.34998626667073579"/>
      </right>
      <top/>
      <bottom/>
      <diagonal/>
    </border>
    <border>
      <left style="medium">
        <color theme="0" tint="-0.24994659260841701"/>
      </left>
      <right/>
      <top style="thick">
        <color auto="1"/>
      </top>
      <bottom style="medium">
        <color theme="2" tint="-0.24994659260841701"/>
      </bottom>
      <diagonal/>
    </border>
    <border>
      <left/>
      <right style="medium">
        <color theme="0" tint="-0.24994659260841701"/>
      </right>
      <top style="thick">
        <color auto="1"/>
      </top>
      <bottom style="medium">
        <color theme="2" tint="-0.24994659260841701"/>
      </bottom>
      <diagonal/>
    </border>
    <border>
      <left style="medium">
        <color theme="0" tint="-0.24994659260841701"/>
      </left>
      <right style="thin">
        <color theme="0" tint="-0.34998626667073579"/>
      </right>
      <top style="medium">
        <color theme="2" tint="-0.24994659260841701"/>
      </top>
      <bottom/>
      <diagonal/>
    </border>
    <border>
      <left style="thin">
        <color theme="1" tint="0.34998626667073579"/>
      </left>
      <right style="medium">
        <color theme="0" tint="-0.24994659260841701"/>
      </right>
      <top/>
      <bottom/>
      <diagonal/>
    </border>
    <border>
      <left style="medium">
        <color theme="0" tint="-0.24994659260841701"/>
      </left>
      <right style="thin">
        <color theme="0" tint="-0.34998626667073579"/>
      </right>
      <top/>
      <bottom/>
      <diagonal/>
    </border>
    <border>
      <left/>
      <right style="thick">
        <color theme="0" tint="-0.24994659260841701"/>
      </right>
      <top style="thick">
        <color auto="1"/>
      </top>
      <bottom style="medium">
        <color theme="2" tint="-0.24994659260841701"/>
      </bottom>
      <diagonal/>
    </border>
    <border>
      <left style="thin">
        <color theme="0" tint="-0.34998626667073579"/>
      </left>
      <right style="thick">
        <color theme="0" tint="-0.24994659260841701"/>
      </right>
      <top/>
      <bottom/>
      <diagonal/>
    </border>
    <border>
      <left/>
      <right style="thin">
        <color theme="0" tint="-0.34998626667073579"/>
      </right>
      <top style="thick">
        <color auto="1"/>
      </top>
      <bottom style="medium">
        <color theme="2" tint="-0.24994659260841701"/>
      </bottom>
      <diagonal/>
    </border>
    <border>
      <left style="thick">
        <color theme="0" tint="-0.24994659260841701"/>
      </left>
      <right style="thin">
        <color theme="0" tint="-0.34998626667073579"/>
      </right>
      <top style="thick">
        <color auto="1"/>
      </top>
      <bottom/>
      <diagonal/>
    </border>
    <border>
      <left style="thin">
        <color theme="0" tint="-0.34998626667073579"/>
      </left>
      <right style="thick">
        <color theme="0" tint="-0.24994659260841701"/>
      </right>
      <top style="thick">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medium">
        <color theme="0" tint="-0.24994659260841701"/>
      </right>
      <top/>
      <bottom/>
      <diagonal/>
    </border>
    <border>
      <left style="medium">
        <color theme="0" tint="-0.34998626667073579"/>
      </left>
      <right/>
      <top style="thick">
        <color auto="1"/>
      </top>
      <bottom/>
      <diagonal/>
    </border>
    <border>
      <left/>
      <right/>
      <top style="thick">
        <color auto="1"/>
      </top>
      <bottom/>
      <diagonal/>
    </border>
    <border>
      <left/>
      <right style="medium">
        <color theme="0" tint="-0.24994659260841701"/>
      </right>
      <top style="thick">
        <color auto="1"/>
      </top>
      <bottom/>
      <diagonal/>
    </border>
    <border>
      <left style="medium">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24994659260841701"/>
      </right>
      <top style="thin">
        <color theme="0" tint="-0.34998626667073579"/>
      </top>
      <bottom/>
      <diagonal/>
    </border>
    <border>
      <left style="thick">
        <color theme="0" tint="-0.24994659260841701"/>
      </left>
      <right style="thin">
        <color theme="0" tint="-0.34998626667073579"/>
      </right>
      <top/>
      <bottom/>
      <diagonal/>
    </border>
    <border>
      <left style="thin">
        <color theme="0" tint="-0.34998626667073579"/>
      </left>
      <right style="thin">
        <color theme="0" tint="-0.34998626667073579"/>
      </right>
      <top style="medium">
        <color theme="2" tint="-0.24994659260841701"/>
      </top>
      <bottom style="thin">
        <color theme="0" tint="-0.34998626667073579"/>
      </bottom>
      <diagonal/>
    </border>
    <border>
      <left/>
      <right style="thin">
        <color theme="0" tint="-0.24994659260841701"/>
      </right>
      <top/>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right/>
      <top style="medium">
        <color indexed="64"/>
      </top>
      <bottom style="thick">
        <color auto="1"/>
      </bottom>
      <diagonal/>
    </border>
    <border>
      <left/>
      <right style="medium">
        <color theme="0" tint="-0.24994659260841701"/>
      </right>
      <top style="medium">
        <color indexed="64"/>
      </top>
      <bottom style="thick">
        <color auto="1"/>
      </bottom>
      <diagonal/>
    </border>
    <border>
      <left style="medium">
        <color theme="0" tint="-0.24994659260841701"/>
      </left>
      <right/>
      <top style="medium">
        <color indexed="64"/>
      </top>
      <bottom style="thick">
        <color auto="1"/>
      </bottom>
      <diagonal/>
    </border>
    <border>
      <left/>
      <right style="medium">
        <color indexed="64"/>
      </right>
      <top style="medium">
        <color indexed="64"/>
      </top>
      <bottom style="thick">
        <color auto="1"/>
      </bottom>
      <diagonal/>
    </border>
    <border>
      <left style="medium">
        <color indexed="64"/>
      </left>
      <right style="medium">
        <color theme="0" tint="-0.34998626667073579"/>
      </right>
      <top/>
      <bottom/>
      <diagonal/>
    </border>
    <border>
      <left style="thin">
        <color theme="0" tint="-0.34998626667073579"/>
      </left>
      <right style="medium">
        <color indexed="64"/>
      </right>
      <top style="thick">
        <color auto="1"/>
      </top>
      <bottom style="medium">
        <color theme="2" tint="-0.24994659260841701"/>
      </bottom>
      <diagonal/>
    </border>
    <border>
      <left style="thin">
        <color theme="0" tint="-0.34998626667073579"/>
      </left>
      <right style="medium">
        <color indexed="64"/>
      </right>
      <top/>
      <bottom/>
      <diagonal/>
    </border>
    <border>
      <left style="thin">
        <color theme="1"/>
      </left>
      <right/>
      <top style="thin">
        <color theme="1"/>
      </top>
      <bottom/>
      <diagonal/>
    </border>
    <border>
      <left/>
      <right/>
      <top style="thin">
        <color theme="1"/>
      </top>
      <bottom/>
      <diagonal/>
    </border>
    <border>
      <left style="medium">
        <color theme="0" tint="-0.34998626667073579"/>
      </left>
      <right/>
      <top style="thin">
        <color theme="0" tint="-0.34998626667073579"/>
      </top>
      <bottom/>
      <diagonal/>
    </border>
    <border>
      <left/>
      <right/>
      <top style="thin">
        <color theme="0" tint="-0.34998626667073579"/>
      </top>
      <bottom/>
      <diagonal/>
    </border>
    <border>
      <left/>
      <right style="medium">
        <color theme="0" tint="-0.24994659260841701"/>
      </right>
      <top style="thin">
        <color theme="0" tint="-0.34998626667073579"/>
      </top>
      <bottom/>
      <diagonal/>
    </border>
    <border>
      <left style="medium">
        <color theme="0" tint="-0.24994659260841701"/>
      </left>
      <right/>
      <top style="thin">
        <color theme="0" tint="-0.34998626667073579"/>
      </top>
      <bottom/>
      <diagonal/>
    </border>
    <border>
      <left/>
      <right style="thick">
        <color theme="0" tint="-0.24994659260841701"/>
      </right>
      <top style="thin">
        <color theme="0" tint="-0.34998626667073579"/>
      </top>
      <bottom/>
      <diagonal/>
    </border>
    <border>
      <left style="thick">
        <color theme="0" tint="-0.24994659260841701"/>
      </left>
      <right/>
      <top style="thin">
        <color theme="0" tint="-0.34998626667073579"/>
      </top>
      <bottom/>
      <diagonal/>
    </border>
    <border>
      <left/>
      <right style="medium">
        <color auto="1"/>
      </right>
      <top style="thin">
        <color theme="0" tint="-0.34998626667073579"/>
      </top>
      <bottom/>
      <diagonal/>
    </border>
    <border>
      <left style="medium">
        <color theme="0" tint="-0.34998626667073579"/>
      </left>
      <right/>
      <top/>
      <bottom/>
      <diagonal/>
    </border>
    <border>
      <left style="thin">
        <color theme="0"/>
      </left>
      <right style="thin">
        <color theme="0"/>
      </right>
      <top style="thin">
        <color theme="0"/>
      </top>
      <bottom style="thin">
        <color theme="0"/>
      </bottom>
      <diagonal/>
    </border>
    <border>
      <left/>
      <right/>
      <top style="thin">
        <color rgb="FF000000"/>
      </top>
      <bottom/>
      <diagonal/>
    </border>
    <border>
      <left/>
      <right style="thin">
        <color rgb="FF000000"/>
      </right>
      <top style="thin">
        <color rgb="FF000000"/>
      </top>
      <bottom/>
      <diagonal/>
    </border>
    <border>
      <left style="medium">
        <color auto="1"/>
      </left>
      <right style="thin">
        <color theme="0" tint="-0.14996795556505021"/>
      </right>
      <top style="medium">
        <color auto="1"/>
      </top>
      <bottom style="thin">
        <color theme="0" tint="-0.14996795556505021"/>
      </bottom>
      <diagonal/>
    </border>
    <border>
      <left style="thin">
        <color theme="0" tint="-0.14996795556505021"/>
      </left>
      <right style="thin">
        <color theme="0" tint="-0.14996795556505021"/>
      </right>
      <top style="medium">
        <color auto="1"/>
      </top>
      <bottom style="thin">
        <color theme="0" tint="-0.14996795556505021"/>
      </bottom>
      <diagonal/>
    </border>
    <border>
      <left style="thin">
        <color theme="0" tint="-0.14996795556505021"/>
      </left>
      <right style="medium">
        <color auto="1"/>
      </right>
      <top style="medium">
        <color auto="1"/>
      </top>
      <bottom style="thin">
        <color theme="0" tint="-0.14996795556505021"/>
      </bottom>
      <diagonal/>
    </border>
    <border>
      <left style="medium">
        <color auto="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medium">
        <color auto="1"/>
      </right>
      <top style="thin">
        <color theme="0" tint="-0.14996795556505021"/>
      </top>
      <bottom style="thin">
        <color theme="0" tint="-0.14996795556505021"/>
      </bottom>
      <diagonal/>
    </border>
    <border>
      <left style="medium">
        <color auto="1"/>
      </left>
      <right style="thin">
        <color theme="0" tint="-0.14996795556505021"/>
      </right>
      <top style="thin">
        <color theme="0" tint="-0.14996795556505021"/>
      </top>
      <bottom style="medium">
        <color auto="1"/>
      </bottom>
      <diagonal/>
    </border>
    <border>
      <left style="thin">
        <color theme="0" tint="-0.14996795556505021"/>
      </left>
      <right style="thin">
        <color theme="0" tint="-0.14996795556505021"/>
      </right>
      <top style="thin">
        <color theme="0" tint="-0.14996795556505021"/>
      </top>
      <bottom style="medium">
        <color auto="1"/>
      </bottom>
      <diagonal/>
    </border>
    <border>
      <left style="thin">
        <color theme="0" tint="-0.14996795556505021"/>
      </left>
      <right style="medium">
        <color auto="1"/>
      </right>
      <top style="thin">
        <color theme="0" tint="-0.14996795556505021"/>
      </top>
      <bottom style="medium">
        <color auto="1"/>
      </bottom>
      <diagonal/>
    </border>
    <border>
      <left/>
      <right/>
      <top style="medium">
        <color auto="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right/>
      <top/>
      <bottom style="medium">
        <color rgb="FF000000"/>
      </bottom>
      <diagonal/>
    </border>
    <border>
      <left/>
      <right style="medium">
        <color theme="0" tint="-0.24994659260841701"/>
      </right>
      <top style="medium">
        <color indexed="64"/>
      </top>
      <bottom/>
      <diagonal/>
    </border>
    <border>
      <left style="medium">
        <color theme="0" tint="-0.24994659260841701"/>
      </left>
      <right/>
      <top style="medium">
        <color indexed="64"/>
      </top>
      <bottom/>
      <diagonal/>
    </border>
    <border>
      <left/>
      <right/>
      <top style="thin">
        <color theme="1"/>
      </top>
      <bottom style="medium">
        <color indexed="64"/>
      </bottom>
      <diagonal/>
    </border>
    <border>
      <left style="medium">
        <color indexed="64"/>
      </left>
      <right style="medium">
        <color theme="0" tint="-0.34998626667073579"/>
      </right>
      <top/>
      <bottom style="medium">
        <color indexed="64"/>
      </bottom>
      <diagonal/>
    </border>
    <border>
      <left style="medium">
        <color theme="0" tint="-0.34998626667073579"/>
      </left>
      <right style="medium">
        <color theme="0" tint="-0.34998626667073579"/>
      </right>
      <top/>
      <bottom style="medium">
        <color indexed="64"/>
      </bottom>
      <diagonal/>
    </border>
    <border>
      <left style="medium">
        <color theme="0" tint="-0.34998626667073579"/>
      </left>
      <right/>
      <top/>
      <bottom style="medium">
        <color indexed="64"/>
      </bottom>
      <diagonal/>
    </border>
    <border>
      <left style="medium">
        <color theme="0" tint="-0.34998626667073579"/>
      </left>
      <right/>
      <top style="thin">
        <color theme="0" tint="-0.34998626667073579"/>
      </top>
      <bottom style="medium">
        <color indexed="64"/>
      </bottom>
      <diagonal/>
    </border>
    <border>
      <left/>
      <right/>
      <top style="thin">
        <color theme="0" tint="-0.34998626667073579"/>
      </top>
      <bottom style="medium">
        <color indexed="64"/>
      </bottom>
      <diagonal/>
    </border>
    <border>
      <left/>
      <right style="medium">
        <color theme="0" tint="-0.24994659260841701"/>
      </right>
      <top style="thin">
        <color theme="0" tint="-0.34998626667073579"/>
      </top>
      <bottom style="medium">
        <color indexed="64"/>
      </bottom>
      <diagonal/>
    </border>
    <border>
      <left style="medium">
        <color theme="0" tint="-0.24994659260841701"/>
      </left>
      <right/>
      <top style="thin">
        <color theme="0" tint="-0.34998626667073579"/>
      </top>
      <bottom style="medium">
        <color indexed="64"/>
      </bottom>
      <diagonal/>
    </border>
    <border>
      <left/>
      <right style="thick">
        <color theme="0" tint="-0.24994659260841701"/>
      </right>
      <top style="thin">
        <color theme="0" tint="-0.34998626667073579"/>
      </top>
      <bottom style="medium">
        <color indexed="64"/>
      </bottom>
      <diagonal/>
    </border>
    <border>
      <left style="thick">
        <color theme="0" tint="-0.24994659260841701"/>
      </left>
      <right/>
      <top style="thin">
        <color theme="0" tint="-0.34998626667073579"/>
      </top>
      <bottom style="medium">
        <color indexed="64"/>
      </bottom>
      <diagonal/>
    </border>
    <border>
      <left/>
      <right style="medium">
        <color indexed="64"/>
      </right>
      <top style="thin">
        <color theme="0" tint="-0.34998626667073579"/>
      </top>
      <bottom style="medium">
        <color indexed="64"/>
      </bottom>
      <diagonal/>
    </border>
    <border>
      <left style="medium">
        <color theme="0" tint="-0.34998626667073579"/>
      </left>
      <right/>
      <top style="thin">
        <color indexed="64"/>
      </top>
      <bottom/>
      <diagonal/>
    </border>
    <border>
      <left/>
      <right/>
      <top style="thin">
        <color indexed="64"/>
      </top>
      <bottom/>
      <diagonal/>
    </border>
    <border>
      <left/>
      <right style="medium">
        <color theme="0" tint="-0.24994659260841701"/>
      </right>
      <top style="thin">
        <color indexed="64"/>
      </top>
      <bottom/>
      <diagonal/>
    </border>
    <border>
      <left style="medium">
        <color theme="0" tint="-0.24994659260841701"/>
      </left>
      <right/>
      <top style="thin">
        <color indexed="64"/>
      </top>
      <bottom style="medium">
        <color theme="2" tint="-0.24994659260841701"/>
      </bottom>
      <diagonal/>
    </border>
    <border>
      <left/>
      <right/>
      <top style="thin">
        <color indexed="64"/>
      </top>
      <bottom style="medium">
        <color theme="2" tint="-0.24994659260841701"/>
      </bottom>
      <diagonal/>
    </border>
    <border>
      <left/>
      <right style="medium">
        <color theme="0" tint="-0.24994659260841701"/>
      </right>
      <top style="thin">
        <color indexed="64"/>
      </top>
      <bottom style="medium">
        <color theme="2" tint="-0.24994659260841701"/>
      </bottom>
      <diagonal/>
    </border>
    <border>
      <left/>
      <right style="thick">
        <color theme="0" tint="-0.24994659260841701"/>
      </right>
      <top style="thin">
        <color indexed="64"/>
      </top>
      <bottom style="medium">
        <color theme="2" tint="-0.24994659260841701"/>
      </bottom>
      <diagonal/>
    </border>
    <border>
      <left style="thick">
        <color theme="0" tint="-0.24994659260841701"/>
      </left>
      <right style="thin">
        <color theme="0" tint="-0.34998626667073579"/>
      </right>
      <top style="thin">
        <color indexed="64"/>
      </top>
      <bottom/>
      <diagonal/>
    </border>
    <border>
      <left style="thin">
        <color theme="0" tint="-0.34998626667073579"/>
      </left>
      <right style="thin">
        <color theme="0" tint="-0.34998626667073579"/>
      </right>
      <top style="thin">
        <color indexed="64"/>
      </top>
      <bottom/>
      <diagonal/>
    </border>
    <border>
      <left style="thin">
        <color theme="0" tint="-0.34998626667073579"/>
      </left>
      <right style="thick">
        <color theme="0" tint="-0.24994659260841701"/>
      </right>
      <top style="thin">
        <color indexed="64"/>
      </top>
      <bottom/>
      <diagonal/>
    </border>
    <border>
      <left/>
      <right style="thin">
        <color theme="0" tint="-0.34998626667073579"/>
      </right>
      <top style="thin">
        <color indexed="64"/>
      </top>
      <bottom style="medium">
        <color theme="2" tint="-0.24994659260841701"/>
      </bottom>
      <diagonal/>
    </border>
    <border>
      <left style="thin">
        <color theme="0" tint="-0.34998626667073579"/>
      </left>
      <right style="thin">
        <color theme="0" tint="-0.34998626667073579"/>
      </right>
      <top style="thin">
        <color indexed="64"/>
      </top>
      <bottom style="medium">
        <color theme="2" tint="-0.24994659260841701"/>
      </bottom>
      <diagonal/>
    </border>
    <border>
      <left style="thin">
        <color theme="0" tint="-0.34998626667073579"/>
      </left>
      <right style="medium">
        <color theme="1" tint="0.34998626667073579"/>
      </right>
      <top style="thin">
        <color indexed="64"/>
      </top>
      <bottom style="medium">
        <color theme="2" tint="-0.24994659260841701"/>
      </bottom>
      <diagonal/>
    </border>
    <border>
      <left style="medium">
        <color theme="1" tint="0.34998626667073579"/>
      </left>
      <right style="thin">
        <color theme="0" tint="-0.34998626667073579"/>
      </right>
      <top style="thin">
        <color indexed="64"/>
      </top>
      <bottom style="medium">
        <color theme="2" tint="-0.24994659260841701"/>
      </bottom>
      <diagonal/>
    </border>
    <border>
      <left style="thin">
        <color theme="0" tint="-0.34998626667073579"/>
      </left>
      <right style="medium">
        <color indexed="64"/>
      </right>
      <top style="thin">
        <color indexed="64"/>
      </top>
      <bottom style="medium">
        <color theme="2" tint="-0.24994659260841701"/>
      </bottom>
      <diagonal/>
    </border>
    <border>
      <left style="thin">
        <color theme="0" tint="-0.14996795556505021"/>
      </left>
      <right style="thin">
        <color theme="0" tint="-0.14996795556505021"/>
      </right>
      <top style="thin">
        <color theme="0" tint="-0.14996795556505021"/>
      </top>
      <bottom style="medium">
        <color theme="1"/>
      </bottom>
      <diagonal/>
    </border>
    <border>
      <left style="thin">
        <color theme="0" tint="-0.14996795556505021"/>
      </left>
      <right style="medium">
        <color auto="1"/>
      </right>
      <top style="thin">
        <color theme="0" tint="-0.14996795556505021"/>
      </top>
      <bottom style="medium">
        <color rgb="FF000000"/>
      </bottom>
      <diagonal/>
    </border>
    <border>
      <left style="thin">
        <color theme="0" tint="-0.14996795556505021"/>
      </left>
      <right/>
      <top/>
      <bottom style="thin">
        <color theme="0" tint="-0.14996795556505021"/>
      </bottom>
      <diagonal/>
    </border>
    <border>
      <left style="thin">
        <color theme="0" tint="-0.14996795556505021"/>
      </left>
      <right style="thin">
        <color theme="0" tint="-0.14996795556505021"/>
      </right>
      <top style="thin">
        <color theme="0" tint="-0.14996795556505021"/>
      </top>
      <bottom style="medium">
        <color rgb="FF000000"/>
      </bottom>
      <diagonal/>
    </border>
    <border>
      <left style="thin">
        <color rgb="FFBFBFBF"/>
      </left>
      <right style="thin">
        <color rgb="FFBFBFBF"/>
      </right>
      <top style="thin">
        <color rgb="FFBFBFBF"/>
      </top>
      <bottom style="thin">
        <color rgb="FFBFBFBF"/>
      </bottom>
      <diagonal/>
    </border>
    <border>
      <left/>
      <right style="thin">
        <color indexed="64"/>
      </right>
      <top style="thin">
        <color rgb="FFBFBFBF"/>
      </top>
      <bottom style="thin">
        <color rgb="FFBFBFBF"/>
      </bottom>
      <diagonal/>
    </border>
  </borders>
  <cellStyleXfs count="87">
    <xf numFmtId="0" fontId="0" fillId="0" borderId="0"/>
    <xf numFmtId="0" fontId="8" fillId="0" borderId="0"/>
    <xf numFmtId="0" fontId="10" fillId="0" borderId="0" applyNumberFormat="0" applyFill="0" applyBorder="0" applyAlignment="0" applyProtection="0"/>
    <xf numFmtId="0" fontId="12" fillId="0" borderId="0" applyNumberFormat="0" applyFill="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9" fillId="10" borderId="4" applyNumberFormat="0" applyAlignment="0" applyProtection="0"/>
    <xf numFmtId="0" fontId="20" fillId="11" borderId="5" applyNumberFormat="0" applyAlignment="0" applyProtection="0"/>
    <xf numFmtId="0" fontId="21" fillId="11" borderId="4" applyNumberFormat="0" applyAlignment="0" applyProtection="0"/>
    <xf numFmtId="0" fontId="22" fillId="0" borderId="6" applyNumberFormat="0" applyFill="0" applyAlignment="0" applyProtection="0"/>
    <xf numFmtId="0" fontId="1" fillId="12" borderId="7" applyNumberFormat="0" applyAlignment="0" applyProtection="0"/>
    <xf numFmtId="0" fontId="23" fillId="0" borderId="0" applyNumberFormat="0" applyFill="0" applyBorder="0" applyAlignment="0" applyProtection="0"/>
    <xf numFmtId="0" fontId="11" fillId="13" borderId="8" applyNumberFormat="0" applyFont="0" applyAlignment="0" applyProtection="0"/>
    <xf numFmtId="0" fontId="24" fillId="0" borderId="0" applyNumberFormat="0" applyFill="0" applyBorder="0" applyAlignment="0" applyProtection="0"/>
    <xf numFmtId="0" fontId="2" fillId="0" borderId="9" applyNumberFormat="0" applyFill="0" applyAlignment="0" applyProtection="0"/>
    <xf numFmtId="0" fontId="9" fillId="14" borderId="0" applyNumberFormat="0" applyBorder="0" applyAlignment="0" applyProtection="0"/>
    <xf numFmtId="0" fontId="11" fillId="15" borderId="0" applyNumberFormat="0" applyBorder="0" applyAlignment="0" applyProtection="0"/>
    <xf numFmtId="0" fontId="11"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9" fillId="37" borderId="0" applyNumberFormat="0" applyBorder="0" applyAlignment="0" applyProtection="0"/>
    <xf numFmtId="0" fontId="31" fillId="0" borderId="0"/>
    <xf numFmtId="0" fontId="33" fillId="9" borderId="0" applyNumberFormat="0" applyBorder="0" applyAlignment="0" applyProtection="0"/>
    <xf numFmtId="0" fontId="11" fillId="17" borderId="0" applyNumberFormat="0" applyBorder="0" applyAlignment="0" applyProtection="0"/>
    <xf numFmtId="0" fontId="11" fillId="21" borderId="0" applyNumberFormat="0" applyBorder="0" applyAlignment="0" applyProtection="0"/>
    <xf numFmtId="0" fontId="11" fillId="25" borderId="0" applyNumberFormat="0" applyBorder="0" applyAlignment="0" applyProtection="0"/>
    <xf numFmtId="0" fontId="11" fillId="29" borderId="0" applyNumberFormat="0" applyBorder="0" applyAlignment="0" applyProtection="0"/>
    <xf numFmtId="0" fontId="11" fillId="33" borderId="0" applyNumberFormat="0" applyBorder="0" applyAlignment="0" applyProtection="0"/>
    <xf numFmtId="0" fontId="11" fillId="37" borderId="0" applyNumberFormat="0" applyBorder="0" applyAlignment="0" applyProtection="0"/>
    <xf numFmtId="0" fontId="11" fillId="13" borderId="8" applyNumberFormat="0" applyFont="0" applyAlignment="0" applyProtection="0"/>
    <xf numFmtId="0" fontId="11" fillId="15" borderId="0" applyNumberFormat="0" applyBorder="0" applyAlignment="0" applyProtection="0"/>
    <xf numFmtId="0" fontId="11" fillId="16"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13" borderId="8" applyNumberFormat="0" applyFont="0" applyAlignment="0" applyProtection="0"/>
    <xf numFmtId="0" fontId="11"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1"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1"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1"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1"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1" fillId="35" borderId="0" applyNumberFormat="0" applyBorder="0" applyAlignment="0" applyProtection="0"/>
    <xf numFmtId="0" fontId="11" fillId="36" borderId="0" applyNumberFormat="0" applyBorder="0" applyAlignment="0" applyProtection="0"/>
    <xf numFmtId="0" fontId="11" fillId="37" borderId="0" applyNumberFormat="0" applyBorder="0" applyAlignment="0" applyProtection="0"/>
    <xf numFmtId="0" fontId="34" fillId="0" borderId="0"/>
    <xf numFmtId="0" fontId="35" fillId="0" borderId="0"/>
    <xf numFmtId="0" fontId="62" fillId="47" borderId="90">
      <alignment horizontal="left"/>
    </xf>
  </cellStyleXfs>
  <cellXfs count="458">
    <xf numFmtId="0" fontId="0" fillId="0" borderId="0" xfId="0"/>
    <xf numFmtId="0" fontId="0" fillId="2" borderId="0" xfId="0" applyFill="1"/>
    <xf numFmtId="0" fontId="3" fillId="0" borderId="0" xfId="0" applyFont="1"/>
    <xf numFmtId="0" fontId="0" fillId="0" borderId="0" xfId="0" applyAlignment="1">
      <alignment horizontal="right"/>
    </xf>
    <xf numFmtId="0" fontId="10" fillId="0" borderId="0" xfId="2"/>
    <xf numFmtId="0" fontId="0" fillId="0" borderId="0" xfId="0" applyAlignment="1">
      <alignment wrapText="1"/>
    </xf>
    <xf numFmtId="0" fontId="26" fillId="0" borderId="21" xfId="0" applyFont="1" applyBorder="1" applyAlignment="1">
      <alignment vertical="center" wrapText="1"/>
    </xf>
    <xf numFmtId="0" fontId="27" fillId="0" borderId="21" xfId="0" applyFont="1" applyBorder="1" applyAlignment="1">
      <alignment vertical="center" wrapText="1"/>
    </xf>
    <xf numFmtId="0" fontId="29" fillId="0" borderId="0" xfId="0" applyFont="1"/>
    <xf numFmtId="0" fontId="30" fillId="0" borderId="0" xfId="0" applyFont="1" applyAlignment="1">
      <alignment vertical="center"/>
    </xf>
    <xf numFmtId="0" fontId="10" fillId="0" borderId="0" xfId="2" applyAlignment="1">
      <alignment vertical="center"/>
    </xf>
    <xf numFmtId="0" fontId="0" fillId="0" borderId="0" xfId="0" applyAlignment="1">
      <alignment vertical="center" wrapText="1"/>
    </xf>
    <xf numFmtId="0" fontId="32" fillId="42" borderId="0" xfId="0" applyFont="1" applyFill="1" applyAlignment="1">
      <alignment horizontal="center" vertical="center"/>
    </xf>
    <xf numFmtId="0" fontId="32" fillId="42" borderId="0" xfId="0" applyFont="1" applyFill="1" applyAlignment="1">
      <alignment vertical="center"/>
    </xf>
    <xf numFmtId="0" fontId="0" fillId="0" borderId="24" xfId="0" applyFont="1" applyBorder="1" applyAlignment="1"/>
    <xf numFmtId="0" fontId="0" fillId="0" borderId="26" xfId="0" applyFont="1" applyBorder="1" applyAlignment="1"/>
    <xf numFmtId="0" fontId="0" fillId="0" borderId="0" xfId="0" applyFont="1" applyBorder="1" applyAlignment="1">
      <alignment horizontal="center" vertical="center"/>
    </xf>
    <xf numFmtId="14" fontId="8" fillId="0" borderId="0" xfId="1" applyNumberFormat="1"/>
    <xf numFmtId="0" fontId="0" fillId="0" borderId="0" xfId="0"/>
    <xf numFmtId="0" fontId="8" fillId="0" borderId="0" xfId="1"/>
    <xf numFmtId="0" fontId="0" fillId="0" borderId="0" xfId="0" applyAlignment="1">
      <alignment horizontal="center" vertical="center" wrapText="1"/>
    </xf>
    <xf numFmtId="0" fontId="0" fillId="0" borderId="0" xfId="0"/>
    <xf numFmtId="0" fontId="0" fillId="41" borderId="0" xfId="0" applyFill="1"/>
    <xf numFmtId="0" fontId="0" fillId="0" borderId="0" xfId="0" applyBorder="1" applyAlignment="1">
      <alignment horizontal="center" vertical="center" wrapText="1"/>
    </xf>
    <xf numFmtId="0" fontId="0" fillId="43" borderId="0" xfId="0" applyFont="1" applyFill="1" applyBorder="1" applyAlignment="1">
      <alignment horizontal="center" vertical="center"/>
    </xf>
    <xf numFmtId="0" fontId="0" fillId="0" borderId="0" xfId="0" applyBorder="1" applyAlignment="1">
      <alignment horizontal="center" vertical="center"/>
    </xf>
    <xf numFmtId="0" fontId="0" fillId="41" borderId="0" xfId="0" applyFill="1" applyBorder="1" applyAlignment="1">
      <alignment horizontal="center" vertical="center" wrapText="1"/>
    </xf>
    <xf numFmtId="0" fontId="0" fillId="3" borderId="39" xfId="0" applyFill="1" applyBorder="1" applyAlignment="1">
      <alignment horizontal="center" vertical="center"/>
    </xf>
    <xf numFmtId="0" fontId="0" fillId="3" borderId="40" xfId="0" applyFill="1" applyBorder="1" applyAlignment="1">
      <alignment horizontal="center" vertical="center"/>
    </xf>
    <xf numFmtId="0" fontId="0" fillId="3" borderId="40" xfId="0" applyFill="1" applyBorder="1" applyAlignment="1">
      <alignment horizontal="center" vertical="center" wrapText="1"/>
    </xf>
    <xf numFmtId="0" fontId="0" fillId="3" borderId="41" xfId="0" applyFill="1" applyBorder="1" applyAlignment="1">
      <alignment horizontal="center" vertical="center" wrapText="1"/>
    </xf>
    <xf numFmtId="0" fontId="0" fillId="0" borderId="42" xfId="0" applyBorder="1"/>
    <xf numFmtId="0" fontId="0" fillId="0" borderId="11" xfId="0" applyBorder="1" applyAlignment="1">
      <alignment horizontal="center"/>
    </xf>
    <xf numFmtId="0" fontId="0" fillId="2" borderId="11" xfId="0" applyNumberFormat="1" applyFill="1" applyBorder="1" applyAlignment="1">
      <alignment horizontal="center"/>
    </xf>
    <xf numFmtId="0" fontId="4" fillId="0" borderId="43" xfId="0" applyFont="1" applyBorder="1"/>
    <xf numFmtId="0" fontId="0" fillId="6" borderId="11" xfId="0" applyNumberFormat="1" applyFill="1" applyBorder="1" applyAlignment="1">
      <alignment horizontal="center"/>
    </xf>
    <xf numFmtId="0" fontId="0" fillId="0" borderId="11" xfId="0" quotePrefix="1" applyNumberFormat="1" applyBorder="1" applyAlignment="1">
      <alignment horizontal="center"/>
    </xf>
    <xf numFmtId="164" fontId="0" fillId="0" borderId="11" xfId="0" applyNumberFormat="1" applyBorder="1" applyAlignment="1">
      <alignment horizontal="center"/>
    </xf>
    <xf numFmtId="0" fontId="0" fillId="0" borderId="11" xfId="0" applyNumberFormat="1" applyBorder="1" applyAlignment="1">
      <alignment horizontal="center"/>
    </xf>
    <xf numFmtId="0" fontId="0" fillId="0" borderId="11" xfId="0" applyNumberFormat="1" applyFill="1" applyBorder="1" applyAlignment="1">
      <alignment horizontal="center"/>
    </xf>
    <xf numFmtId="0" fontId="0" fillId="0" borderId="11" xfId="0" applyBorder="1"/>
    <xf numFmtId="0" fontId="4" fillId="0" borderId="43" xfId="0" applyFont="1" applyBorder="1" applyAlignment="1">
      <alignment horizontal="left"/>
    </xf>
    <xf numFmtId="0" fontId="0" fillId="0" borderId="44" xfId="0" applyBorder="1"/>
    <xf numFmtId="0" fontId="0" fillId="0" borderId="45" xfId="0" applyBorder="1" applyAlignment="1">
      <alignment horizontal="center"/>
    </xf>
    <xf numFmtId="0" fontId="0" fillId="0" borderId="45" xfId="0" applyBorder="1"/>
    <xf numFmtId="0" fontId="0" fillId="0" borderId="45" xfId="0" applyNumberFormat="1" applyBorder="1" applyAlignment="1">
      <alignment horizontal="center"/>
    </xf>
    <xf numFmtId="0" fontId="0" fillId="0" borderId="46" xfId="0" applyBorder="1"/>
    <xf numFmtId="0" fontId="0" fillId="0" borderId="27" xfId="0" applyFont="1" applyBorder="1" applyAlignment="1"/>
    <xf numFmtId="0" fontId="0" fillId="0" borderId="24" xfId="0" applyBorder="1"/>
    <xf numFmtId="0" fontId="0" fillId="0" borderId="0" xfId="0" applyFont="1" applyFill="1" applyBorder="1" applyAlignment="1"/>
    <xf numFmtId="0" fontId="0" fillId="0" borderId="56" xfId="0" applyFont="1" applyFill="1" applyBorder="1" applyAlignment="1"/>
    <xf numFmtId="0" fontId="37" fillId="0" borderId="0" xfId="0" applyFont="1" applyBorder="1" applyAlignment="1">
      <alignment horizontal="center"/>
    </xf>
    <xf numFmtId="0" fontId="37" fillId="0" borderId="0" xfId="0" applyFont="1" applyFill="1" applyBorder="1" applyAlignment="1">
      <alignment horizontal="center"/>
    </xf>
    <xf numFmtId="0" fontId="37" fillId="0" borderId="0" xfId="0" applyFont="1"/>
    <xf numFmtId="0" fontId="37" fillId="0" borderId="0" xfId="0" applyFont="1" applyAlignment="1">
      <alignment vertical="center"/>
    </xf>
    <xf numFmtId="0" fontId="38" fillId="0" borderId="0" xfId="0" applyFont="1" applyBorder="1" applyAlignment="1">
      <alignment horizontal="right"/>
    </xf>
    <xf numFmtId="0" fontId="0" fillId="0" borderId="67" xfId="0" applyBorder="1" applyAlignment="1">
      <alignment horizontal="center"/>
    </xf>
    <xf numFmtId="0" fontId="1" fillId="44" borderId="0" xfId="0" applyFont="1" applyFill="1" applyAlignment="1">
      <alignment horizontal="center" vertical="center" wrapText="1"/>
    </xf>
    <xf numFmtId="169" fontId="1" fillId="44" borderId="0" xfId="0" applyNumberFormat="1" applyFont="1" applyFill="1" applyAlignment="1">
      <alignment horizontal="center" vertical="center" wrapText="1"/>
    </xf>
    <xf numFmtId="0" fontId="32" fillId="0" borderId="0" xfId="0" applyFont="1" applyAlignment="1">
      <alignment horizontal="left" vertical="center"/>
    </xf>
    <xf numFmtId="0" fontId="0" fillId="0" borderId="0" xfId="0" applyAlignment="1">
      <alignment horizontal="left"/>
    </xf>
    <xf numFmtId="0" fontId="0" fillId="0" borderId="66" xfId="0" applyFont="1" applyBorder="1" applyAlignment="1">
      <alignment horizontal="center"/>
    </xf>
    <xf numFmtId="0" fontId="0" fillId="0" borderId="67" xfId="0" applyFont="1" applyBorder="1" applyAlignment="1">
      <alignment horizontal="center"/>
    </xf>
    <xf numFmtId="0" fontId="0" fillId="46" borderId="76" xfId="0" applyFill="1" applyBorder="1"/>
    <xf numFmtId="0" fontId="0" fillId="45" borderId="76" xfId="0" applyFill="1" applyBorder="1"/>
    <xf numFmtId="14" fontId="0" fillId="0" borderId="0" xfId="0" applyNumberFormat="1"/>
    <xf numFmtId="0" fontId="39" fillId="0" borderId="0" xfId="0" applyFont="1" applyBorder="1" applyAlignment="1">
      <alignment horizontal="right"/>
    </xf>
    <xf numFmtId="0" fontId="1" fillId="44" borderId="77" xfId="0" applyFont="1" applyFill="1" applyBorder="1" applyAlignment="1">
      <alignment horizontal="center" vertical="center" wrapText="1"/>
    </xf>
    <xf numFmtId="0" fontId="1" fillId="44" borderId="78" xfId="0" applyFont="1" applyFill="1" applyBorder="1" applyAlignment="1">
      <alignment horizontal="center" vertical="center" wrapText="1"/>
    </xf>
    <xf numFmtId="0" fontId="40" fillId="0" borderId="0" xfId="0" applyFont="1"/>
    <xf numFmtId="0" fontId="41" fillId="0" borderId="0" xfId="0" applyFont="1"/>
    <xf numFmtId="22" fontId="41" fillId="0" borderId="0" xfId="0" applyNumberFormat="1" applyFont="1"/>
    <xf numFmtId="1" fontId="41" fillId="0" borderId="0" xfId="0" applyNumberFormat="1" applyFont="1"/>
    <xf numFmtId="0" fontId="41" fillId="5" borderId="57" xfId="0" applyFont="1" applyFill="1" applyBorder="1" applyAlignment="1" applyProtection="1">
      <protection locked="0"/>
    </xf>
    <xf numFmtId="0" fontId="41" fillId="5" borderId="58" xfId="0" applyFont="1" applyFill="1" applyBorder="1"/>
    <xf numFmtId="22" fontId="42" fillId="5" borderId="58" xfId="0" applyNumberFormat="1" applyFont="1" applyFill="1" applyBorder="1" applyAlignment="1">
      <alignment horizontal="center" vertical="center" wrapText="1"/>
    </xf>
    <xf numFmtId="22" fontId="42" fillId="5" borderId="23" xfId="0" applyNumberFormat="1" applyFont="1" applyFill="1" applyBorder="1" applyAlignment="1">
      <alignment horizontal="center" vertical="center" wrapText="1"/>
    </xf>
    <xf numFmtId="1" fontId="41" fillId="40" borderId="59" xfId="0" applyNumberFormat="1" applyFont="1" applyFill="1" applyBorder="1" applyAlignment="1">
      <alignment vertical="center"/>
    </xf>
    <xf numFmtId="0" fontId="41" fillId="40" borderId="59" xfId="0" applyFont="1" applyFill="1" applyBorder="1" applyAlignment="1">
      <alignment vertical="center"/>
    </xf>
    <xf numFmtId="0" fontId="41" fillId="40" borderId="60" xfId="0" applyFont="1" applyFill="1" applyBorder="1" applyAlignment="1">
      <alignment vertical="center"/>
    </xf>
    <xf numFmtId="0" fontId="43" fillId="5" borderId="63" xfId="0" applyFont="1" applyFill="1" applyBorder="1" applyAlignment="1" applyProtection="1">
      <alignment horizontal="center" vertical="center"/>
      <protection locked="0"/>
    </xf>
    <xf numFmtId="0" fontId="44" fillId="5" borderId="28" xfId="0" applyFont="1" applyFill="1" applyBorder="1" applyAlignment="1" applyProtection="1">
      <protection locked="0"/>
    </xf>
    <xf numFmtId="22" fontId="43" fillId="5" borderId="28" xfId="0" applyNumberFormat="1" applyFont="1" applyFill="1" applyBorder="1" applyAlignment="1">
      <alignment horizontal="center" vertical="center" wrapText="1"/>
    </xf>
    <xf numFmtId="22" fontId="43" fillId="5" borderId="75" xfId="0" applyNumberFormat="1" applyFont="1" applyFill="1" applyBorder="1" applyAlignment="1">
      <alignment horizontal="center" vertical="center" wrapText="1"/>
    </xf>
    <xf numFmtId="0" fontId="41" fillId="0" borderId="0" xfId="0" applyFont="1" applyAlignment="1">
      <alignment vertical="center"/>
    </xf>
    <xf numFmtId="0" fontId="43" fillId="5" borderId="28" xfId="0" applyFont="1" applyFill="1" applyBorder="1" applyAlignment="1" applyProtection="1">
      <alignment horizontal="center" vertical="center"/>
      <protection locked="0"/>
    </xf>
    <xf numFmtId="22" fontId="43" fillId="5" borderId="75" xfId="0" applyNumberFormat="1" applyFont="1" applyFill="1" applyBorder="1" applyAlignment="1">
      <alignment horizontal="center" vertical="center" textRotation="90" wrapText="1"/>
    </xf>
    <xf numFmtId="1" fontId="43" fillId="5" borderId="51" xfId="0" applyNumberFormat="1" applyFont="1" applyFill="1" applyBorder="1" applyAlignment="1">
      <alignment horizontal="center" textRotation="90"/>
    </xf>
    <xf numFmtId="0" fontId="43" fillId="5" borderId="52" xfId="0" applyFont="1" applyFill="1" applyBorder="1" applyAlignment="1">
      <alignment horizontal="center" textRotation="90"/>
    </xf>
    <xf numFmtId="0" fontId="43" fillId="5" borderId="53" xfId="0" applyFont="1" applyFill="1" applyBorder="1" applyAlignment="1">
      <alignment horizontal="center" textRotation="90"/>
    </xf>
    <xf numFmtId="0" fontId="43" fillId="5" borderId="31" xfId="0" applyFont="1" applyFill="1" applyBorder="1" applyAlignment="1">
      <alignment horizontal="center" textRotation="90"/>
    </xf>
    <xf numFmtId="0" fontId="45" fillId="5" borderId="14" xfId="0" applyFont="1" applyFill="1" applyBorder="1" applyAlignment="1">
      <alignment horizontal="center" textRotation="90"/>
    </xf>
    <xf numFmtId="0" fontId="43" fillId="5" borderId="10" xfId="0" applyFont="1" applyFill="1" applyBorder="1" applyAlignment="1">
      <alignment horizontal="center" textRotation="90"/>
    </xf>
    <xf numFmtId="0" fontId="43" fillId="5" borderId="32" xfId="0" applyFont="1" applyFill="1" applyBorder="1" applyAlignment="1">
      <alignment horizontal="center" textRotation="90"/>
    </xf>
    <xf numFmtId="0" fontId="43" fillId="5" borderId="33" xfId="0" applyFont="1" applyFill="1" applyBorder="1" applyAlignment="1">
      <alignment horizontal="center" textRotation="90"/>
    </xf>
    <xf numFmtId="0" fontId="43" fillId="5" borderId="55" xfId="0" applyFont="1" applyFill="1" applyBorder="1" applyAlignment="1">
      <alignment horizontal="center" textRotation="90"/>
    </xf>
    <xf numFmtId="0" fontId="43" fillId="5" borderId="47" xfId="0" applyFont="1" applyFill="1" applyBorder="1" applyAlignment="1">
      <alignment horizontal="center" textRotation="90"/>
    </xf>
    <xf numFmtId="0" fontId="43" fillId="5" borderId="14" xfId="0" applyFont="1" applyFill="1" applyBorder="1" applyAlignment="1">
      <alignment horizontal="center" textRotation="90"/>
    </xf>
    <xf numFmtId="0" fontId="43" fillId="5" borderId="35" xfId="0" applyFont="1" applyFill="1" applyBorder="1" applyAlignment="1">
      <alignment horizontal="center" textRotation="90"/>
    </xf>
    <xf numFmtId="0" fontId="43" fillId="5" borderId="12" xfId="0" applyFont="1" applyFill="1" applyBorder="1" applyAlignment="1">
      <alignment horizontal="center" textRotation="90"/>
    </xf>
    <xf numFmtId="0" fontId="43" fillId="5" borderId="65" xfId="0" applyFont="1" applyFill="1" applyBorder="1" applyAlignment="1">
      <alignment horizontal="center" textRotation="90"/>
    </xf>
    <xf numFmtId="0" fontId="44" fillId="5" borderId="63" xfId="0" applyFont="1" applyFill="1" applyBorder="1" applyAlignment="1" applyProtection="1">
      <protection locked="0"/>
    </xf>
    <xf numFmtId="1" fontId="44" fillId="5" borderId="68" xfId="0" applyNumberFormat="1" applyFont="1" applyFill="1" applyBorder="1" applyAlignment="1">
      <alignment horizontal="center" vertical="center" wrapText="1"/>
    </xf>
    <xf numFmtId="0" fontId="44" fillId="5" borderId="69" xfId="0" applyFont="1" applyFill="1" applyBorder="1" applyAlignment="1">
      <alignment horizontal="center" vertical="center" wrapText="1"/>
    </xf>
    <xf numFmtId="0" fontId="41" fillId="0" borderId="0" xfId="0" applyFont="1" applyBorder="1" applyAlignment="1">
      <alignment vertical="center"/>
    </xf>
    <xf numFmtId="0" fontId="44" fillId="0" borderId="82" xfId="0" applyFont="1" applyBorder="1" applyAlignment="1">
      <alignment horizontal="center"/>
    </xf>
    <xf numFmtId="0" fontId="44" fillId="0" borderId="83" xfId="0" applyFont="1" applyBorder="1" applyAlignment="1">
      <alignment horizontal="center"/>
    </xf>
    <xf numFmtId="22" fontId="44" fillId="0" borderId="83" xfId="0" applyNumberFormat="1" applyFont="1" applyBorder="1" applyAlignment="1">
      <alignment horizontal="center"/>
    </xf>
    <xf numFmtId="166" fontId="44" fillId="0" borderId="83" xfId="0" applyNumberFormat="1" applyFont="1" applyBorder="1" applyAlignment="1">
      <alignment horizontal="center"/>
    </xf>
    <xf numFmtId="3" fontId="44" fillId="0" borderId="83" xfId="0" applyNumberFormat="1" applyFont="1" applyBorder="1" applyAlignment="1">
      <alignment horizontal="center"/>
    </xf>
    <xf numFmtId="4" fontId="44" fillId="0" borderId="83" xfId="0" applyNumberFormat="1" applyFont="1" applyBorder="1" applyAlignment="1">
      <alignment horizontal="center"/>
    </xf>
    <xf numFmtId="2" fontId="44" fillId="0" borderId="83" xfId="0" applyNumberFormat="1" applyFont="1" applyBorder="1" applyAlignment="1">
      <alignment horizontal="center"/>
    </xf>
    <xf numFmtId="164" fontId="44" fillId="0" borderId="83" xfId="0" applyNumberFormat="1" applyFont="1" applyBorder="1" applyAlignment="1">
      <alignment horizontal="center"/>
    </xf>
    <xf numFmtId="3" fontId="44" fillId="0" borderId="84" xfId="0" applyNumberFormat="1" applyFont="1" applyBorder="1" applyAlignment="1">
      <alignment horizontal="center"/>
    </xf>
    <xf numFmtId="168" fontId="44" fillId="0" borderId="83" xfId="0" applyNumberFormat="1" applyFont="1" applyBorder="1" applyAlignment="1">
      <alignment horizontal="center"/>
    </xf>
    <xf numFmtId="0" fontId="44" fillId="0" borderId="83" xfId="0" applyFont="1" applyFill="1" applyBorder="1" applyAlignment="1">
      <alignment horizontal="center"/>
    </xf>
    <xf numFmtId="166" fontId="44" fillId="0" borderId="83" xfId="0" applyNumberFormat="1" applyFont="1" applyFill="1" applyBorder="1" applyAlignment="1">
      <alignment horizontal="center"/>
    </xf>
    <xf numFmtId="3" fontId="44" fillId="0" borderId="83" xfId="0" applyNumberFormat="1" applyFont="1" applyFill="1" applyBorder="1" applyAlignment="1">
      <alignment horizontal="center"/>
    </xf>
    <xf numFmtId="22" fontId="44" fillId="0" borderId="83" xfId="0" applyNumberFormat="1" applyFont="1" applyFill="1" applyBorder="1" applyAlignment="1">
      <alignment horizontal="center"/>
    </xf>
    <xf numFmtId="0" fontId="41" fillId="0" borderId="0" xfId="0" applyFont="1" applyFill="1"/>
    <xf numFmtId="0" fontId="44" fillId="0" borderId="82" xfId="0" applyFont="1" applyFill="1" applyBorder="1" applyAlignment="1">
      <alignment horizontal="center"/>
    </xf>
    <xf numFmtId="4" fontId="44" fillId="0" borderId="83" xfId="0" applyNumberFormat="1" applyFont="1" applyFill="1" applyBorder="1" applyAlignment="1">
      <alignment horizontal="center"/>
    </xf>
    <xf numFmtId="0" fontId="41" fillId="0" borderId="0" xfId="0" applyFont="1" applyBorder="1"/>
    <xf numFmtId="14" fontId="41" fillId="0" borderId="0" xfId="0" applyNumberFormat="1" applyFont="1" applyBorder="1"/>
    <xf numFmtId="2" fontId="44" fillId="0" borderId="83" xfId="0" applyNumberFormat="1" applyFont="1" applyFill="1" applyBorder="1" applyAlignment="1">
      <alignment horizontal="center"/>
    </xf>
    <xf numFmtId="3" fontId="44" fillId="0" borderId="84" xfId="0" applyNumberFormat="1" applyFont="1" applyFill="1" applyBorder="1" applyAlignment="1">
      <alignment horizontal="center"/>
    </xf>
    <xf numFmtId="166" fontId="44" fillId="0" borderId="86" xfId="0" applyNumberFormat="1" applyFont="1" applyBorder="1" applyAlignment="1">
      <alignment horizontal="center"/>
    </xf>
    <xf numFmtId="3" fontId="44" fillId="0" borderId="86" xfId="0" applyNumberFormat="1" applyFont="1" applyBorder="1" applyAlignment="1">
      <alignment horizontal="center"/>
    </xf>
    <xf numFmtId="4" fontId="44" fillId="0" borderId="86" xfId="0" applyNumberFormat="1" applyFont="1" applyBorder="1" applyAlignment="1">
      <alignment horizontal="center"/>
    </xf>
    <xf numFmtId="2" fontId="44" fillId="0" borderId="86" xfId="0" applyNumberFormat="1" applyFont="1" applyBorder="1" applyAlignment="1">
      <alignment horizontal="center"/>
    </xf>
    <xf numFmtId="0" fontId="44" fillId="0" borderId="86" xfId="0" applyFont="1" applyBorder="1" applyAlignment="1">
      <alignment horizontal="center"/>
    </xf>
    <xf numFmtId="3" fontId="44" fillId="0" borderId="87" xfId="0" applyNumberFormat="1" applyFont="1" applyBorder="1" applyAlignment="1">
      <alignment horizontal="center"/>
    </xf>
    <xf numFmtId="0" fontId="46" fillId="0" borderId="0" xfId="0" applyFont="1" applyBorder="1" applyAlignment="1">
      <alignment horizontal="left" vertical="center" wrapText="1"/>
    </xf>
    <xf numFmtId="0" fontId="44" fillId="0" borderId="0" xfId="0" applyFont="1" applyBorder="1" applyAlignment="1">
      <alignment horizontal="center"/>
    </xf>
    <xf numFmtId="22" fontId="44" fillId="0" borderId="0" xfId="0" applyNumberFormat="1" applyFont="1" applyBorder="1" applyAlignment="1">
      <alignment horizontal="center"/>
    </xf>
    <xf numFmtId="0" fontId="44" fillId="0" borderId="0" xfId="0" applyFont="1" applyFill="1" applyBorder="1" applyAlignment="1">
      <alignment horizontal="center"/>
    </xf>
    <xf numFmtId="3" fontId="44" fillId="0" borderId="0" xfId="0" applyNumberFormat="1" applyFont="1" applyBorder="1" applyAlignment="1">
      <alignment horizontal="center"/>
    </xf>
    <xf numFmtId="166" fontId="44" fillId="0" borderId="0" xfId="0" applyNumberFormat="1" applyFont="1" applyBorder="1" applyAlignment="1">
      <alignment horizontal="center"/>
    </xf>
    <xf numFmtId="4" fontId="44" fillId="0" borderId="0" xfId="0" applyNumberFormat="1" applyFont="1" applyBorder="1" applyAlignment="1">
      <alignment horizontal="center"/>
    </xf>
    <xf numFmtId="1" fontId="44" fillId="0" borderId="0" xfId="0" applyNumberFormat="1" applyFont="1" applyBorder="1" applyAlignment="1">
      <alignment horizontal="center"/>
    </xf>
    <xf numFmtId="14" fontId="44" fillId="0" borderId="0" xfId="0" applyNumberFormat="1" applyFont="1" applyBorder="1"/>
    <xf numFmtId="0" fontId="43" fillId="0" borderId="0" xfId="0" applyFont="1" applyBorder="1" applyAlignment="1">
      <alignment horizontal="right"/>
    </xf>
    <xf numFmtId="0" fontId="44" fillId="0" borderId="0" xfId="0" applyFont="1" applyAlignment="1">
      <alignment horizontal="center"/>
    </xf>
    <xf numFmtId="165" fontId="44" fillId="0" borderId="0" xfId="0" applyNumberFormat="1" applyFont="1" applyAlignment="1">
      <alignment horizontal="center"/>
    </xf>
    <xf numFmtId="0" fontId="44" fillId="0" borderId="0" xfId="0" applyFont="1" applyBorder="1"/>
    <xf numFmtId="0" fontId="44" fillId="0" borderId="0" xfId="0" applyFont="1"/>
    <xf numFmtId="0" fontId="44" fillId="0" borderId="0" xfId="0" applyFont="1" applyBorder="1" applyAlignment="1">
      <alignment horizontal="left"/>
    </xf>
    <xf numFmtId="0" fontId="44" fillId="0" borderId="0" xfId="0" applyFont="1" applyBorder="1" applyAlignment="1">
      <alignment horizontal="right"/>
    </xf>
    <xf numFmtId="0" fontId="46" fillId="0" borderId="0" xfId="0" applyFont="1" applyAlignment="1">
      <alignment horizontal="left" vertical="center"/>
    </xf>
    <xf numFmtId="0" fontId="44" fillId="0" borderId="0" xfId="0" applyFont="1" applyFill="1" applyBorder="1" applyAlignment="1">
      <alignment horizontal="right"/>
    </xf>
    <xf numFmtId="0" fontId="44" fillId="0" borderId="0" xfId="0" applyFont="1" applyBorder="1" applyAlignment="1">
      <alignment vertical="center"/>
    </xf>
    <xf numFmtId="0" fontId="44" fillId="0" borderId="0" xfId="0" applyFont="1" applyFill="1" applyBorder="1" applyAlignment="1">
      <alignment horizontal="left"/>
    </xf>
    <xf numFmtId="0" fontId="41" fillId="0" borderId="0" xfId="0" applyFont="1" applyAlignment="1">
      <alignment horizontal="center"/>
    </xf>
    <xf numFmtId="0" fontId="42" fillId="0" borderId="0" xfId="0" applyFont="1" applyAlignment="1">
      <alignment horizontal="center"/>
    </xf>
    <xf numFmtId="22" fontId="41" fillId="0" borderId="0" xfId="0" applyNumberFormat="1" applyFont="1" applyAlignment="1">
      <alignment horizontal="center"/>
    </xf>
    <xf numFmtId="1" fontId="41" fillId="0" borderId="0" xfId="0" applyNumberFormat="1" applyFont="1" applyAlignment="1">
      <alignment horizontal="center"/>
    </xf>
    <xf numFmtId="0" fontId="47" fillId="0" borderId="0" xfId="0" applyFont="1" applyAlignment="1">
      <alignment horizontal="left" vertical="center"/>
    </xf>
    <xf numFmtId="0" fontId="47" fillId="0" borderId="0" xfId="0" applyFont="1" applyAlignment="1">
      <alignment horizontal="left" vertical="center" wrapText="1"/>
    </xf>
    <xf numFmtId="0" fontId="48" fillId="0" borderId="0" xfId="0" applyFont="1"/>
    <xf numFmtId="22" fontId="48" fillId="0" borderId="0" xfId="0" applyNumberFormat="1" applyFont="1"/>
    <xf numFmtId="1" fontId="48" fillId="0" borderId="0" xfId="0" applyNumberFormat="1" applyFont="1"/>
    <xf numFmtId="0" fontId="49" fillId="0" borderId="0" xfId="0" applyFont="1" applyAlignment="1"/>
    <xf numFmtId="0" fontId="49" fillId="0" borderId="0" xfId="0" applyFont="1" applyAlignment="1">
      <alignment horizontal="center"/>
    </xf>
    <xf numFmtId="0" fontId="49" fillId="0" borderId="0" xfId="0" applyFont="1"/>
    <xf numFmtId="164" fontId="49" fillId="0" borderId="0" xfId="0" applyNumberFormat="1" applyFont="1"/>
    <xf numFmtId="2" fontId="49" fillId="0" borderId="0" xfId="0" applyNumberFormat="1" applyFont="1"/>
    <xf numFmtId="0" fontId="50" fillId="0" borderId="0" xfId="0" applyFont="1" applyAlignment="1"/>
    <xf numFmtId="0" fontId="49" fillId="0" borderId="0" xfId="0" applyFont="1" applyAlignment="1">
      <alignment vertical="center"/>
    </xf>
    <xf numFmtId="0" fontId="49" fillId="0" borderId="0" xfId="0" applyFont="1" applyBorder="1" applyAlignment="1">
      <alignment horizontal="center" wrapText="1"/>
    </xf>
    <xf numFmtId="0" fontId="49" fillId="0" borderId="0" xfId="0" applyFont="1" applyAlignment="1">
      <alignment horizontal="center" wrapText="1"/>
    </xf>
    <xf numFmtId="3" fontId="49" fillId="0" borderId="0" xfId="0" applyNumberFormat="1" applyFont="1" applyBorder="1" applyAlignment="1">
      <alignment horizontal="center"/>
    </xf>
    <xf numFmtId="3" fontId="49" fillId="0" borderId="24" xfId="0" applyNumberFormat="1" applyFont="1" applyBorder="1" applyAlignment="1">
      <alignment horizontal="center"/>
    </xf>
    <xf numFmtId="0" fontId="49" fillId="0" borderId="0" xfId="0" applyFont="1" applyFill="1" applyBorder="1" applyAlignment="1">
      <alignment horizontal="center"/>
    </xf>
    <xf numFmtId="0" fontId="49" fillId="0" borderId="0" xfId="0" applyFont="1" applyAlignment="1">
      <alignment horizontal="right"/>
    </xf>
    <xf numFmtId="0" fontId="49" fillId="0" borderId="0" xfId="0" applyFont="1" applyFill="1"/>
    <xf numFmtId="0" fontId="49" fillId="0" borderId="0" xfId="0" applyFont="1" applyFill="1" applyBorder="1"/>
    <xf numFmtId="0" fontId="49" fillId="0" borderId="0" xfId="0" applyFont="1" applyFill="1" applyBorder="1" applyAlignment="1">
      <alignment horizontal="left"/>
    </xf>
    <xf numFmtId="0" fontId="49" fillId="0" borderId="0" xfId="0" applyFont="1" applyFill="1" applyBorder="1" applyAlignment="1">
      <alignment vertical="center"/>
    </xf>
    <xf numFmtId="0" fontId="53" fillId="0" borderId="0" xfId="0" applyFont="1" applyAlignment="1">
      <alignment horizontal="center"/>
    </xf>
    <xf numFmtId="0" fontId="53" fillId="0" borderId="0" xfId="0" applyFont="1"/>
    <xf numFmtId="164" fontId="53" fillId="0" borderId="0" xfId="0" applyNumberFormat="1" applyFont="1"/>
    <xf numFmtId="2" fontId="53" fillId="0" borderId="0" xfId="0" applyNumberFormat="1" applyFont="1"/>
    <xf numFmtId="0" fontId="54" fillId="0" borderId="0" xfId="0" applyFont="1" applyBorder="1" applyAlignment="1"/>
    <xf numFmtId="0" fontId="54" fillId="0" borderId="0" xfId="0" applyFont="1" applyBorder="1" applyAlignment="1">
      <alignment vertical="center" wrapText="1"/>
    </xf>
    <xf numFmtId="0" fontId="54" fillId="0" borderId="0" xfId="0" applyFont="1" applyBorder="1" applyAlignment="1">
      <alignment horizontal="center"/>
    </xf>
    <xf numFmtId="0" fontId="56" fillId="0" borderId="0" xfId="0" applyFont="1" applyBorder="1" applyAlignment="1">
      <alignment horizontal="center" vertical="center"/>
    </xf>
    <xf numFmtId="14" fontId="54" fillId="0" borderId="0" xfId="0" applyNumberFormat="1" applyFont="1" applyBorder="1" applyAlignment="1">
      <alignment horizontal="center"/>
    </xf>
    <xf numFmtId="3" fontId="54" fillId="0" borderId="0" xfId="0" applyNumberFormat="1" applyFont="1" applyBorder="1" applyAlignment="1">
      <alignment horizontal="center"/>
    </xf>
    <xf numFmtId="0" fontId="54" fillId="0" borderId="0" xfId="0" applyFont="1" applyFill="1" applyBorder="1" applyAlignment="1">
      <alignment horizontal="center"/>
    </xf>
    <xf numFmtId="166" fontId="54" fillId="0" borderId="0" xfId="0" applyNumberFormat="1" applyFont="1" applyBorder="1" applyAlignment="1">
      <alignment horizontal="center"/>
    </xf>
    <xf numFmtId="4" fontId="54" fillId="0" borderId="0" xfId="0" applyNumberFormat="1" applyFont="1" applyBorder="1" applyAlignment="1">
      <alignment horizontal="center"/>
    </xf>
    <xf numFmtId="167" fontId="54" fillId="0" borderId="0" xfId="0" applyNumberFormat="1" applyFont="1" applyBorder="1" applyAlignment="1">
      <alignment horizontal="center"/>
    </xf>
    <xf numFmtId="164" fontId="57" fillId="0" borderId="0" xfId="0" applyNumberFormat="1" applyFont="1" applyFill="1" applyBorder="1" applyAlignment="1">
      <alignment horizontal="center"/>
    </xf>
    <xf numFmtId="2" fontId="54" fillId="0" borderId="0" xfId="0" applyNumberFormat="1" applyFont="1" applyBorder="1" applyAlignment="1">
      <alignment horizontal="center"/>
    </xf>
    <xf numFmtId="2" fontId="55" fillId="0" borderId="0" xfId="0" applyNumberFormat="1" applyFont="1" applyFill="1" applyBorder="1" applyAlignment="1">
      <alignment horizontal="center"/>
    </xf>
    <xf numFmtId="14" fontId="54" fillId="0" borderId="0" xfId="0" applyNumberFormat="1" applyFont="1" applyFill="1"/>
    <xf numFmtId="164" fontId="54" fillId="0" borderId="0" xfId="0" applyNumberFormat="1" applyFont="1" applyFill="1" applyBorder="1"/>
    <xf numFmtId="2" fontId="54" fillId="0" borderId="0" xfId="0" applyNumberFormat="1" applyFont="1" applyFill="1" applyBorder="1"/>
    <xf numFmtId="0" fontId="54" fillId="0" borderId="0" xfId="0" applyFont="1" applyFill="1" applyBorder="1"/>
    <xf numFmtId="0" fontId="54" fillId="0" borderId="0" xfId="0" applyFont="1" applyBorder="1" applyAlignment="1">
      <alignment horizontal="right"/>
    </xf>
    <xf numFmtId="0" fontId="54" fillId="0" borderId="0" xfId="0" applyFont="1" applyAlignment="1">
      <alignment vertical="center"/>
    </xf>
    <xf numFmtId="0" fontId="54" fillId="0" borderId="0" xfId="0" applyFont="1"/>
    <xf numFmtId="0" fontId="54" fillId="0" borderId="0" xfId="0" applyFont="1" applyAlignment="1">
      <alignment horizontal="center"/>
    </xf>
    <xf numFmtId="164" fontId="54" fillId="0" borderId="0" xfId="0" applyNumberFormat="1" applyFont="1"/>
    <xf numFmtId="2" fontId="54" fillId="0" borderId="0" xfId="0" applyNumberFormat="1" applyFont="1"/>
    <xf numFmtId="0" fontId="54" fillId="0" borderId="0" xfId="0" applyFont="1" applyAlignment="1"/>
    <xf numFmtId="164" fontId="54" fillId="0" borderId="0" xfId="0" applyNumberFormat="1" applyFont="1" applyAlignment="1"/>
    <xf numFmtId="2" fontId="54" fillId="0" borderId="0" xfId="0" applyNumberFormat="1" applyFont="1" applyAlignment="1"/>
    <xf numFmtId="0" fontId="54" fillId="0" borderId="0" xfId="0" applyFont="1" applyFill="1" applyBorder="1" applyAlignment="1">
      <alignment horizontal="left"/>
    </xf>
    <xf numFmtId="0" fontId="54" fillId="0" borderId="0" xfId="0" applyFont="1" applyFill="1" applyBorder="1" applyAlignment="1">
      <alignment horizontal="right"/>
    </xf>
    <xf numFmtId="0" fontId="54" fillId="0" borderId="0" xfId="0" applyFont="1" applyBorder="1" applyAlignment="1">
      <alignment vertical="center"/>
    </xf>
    <xf numFmtId="0" fontId="57" fillId="0" borderId="0" xfId="0" applyFont="1" applyBorder="1" applyAlignment="1">
      <alignment horizontal="right"/>
    </xf>
    <xf numFmtId="0" fontId="43" fillId="5" borderId="0" xfId="0" applyFont="1" applyFill="1" applyBorder="1" applyAlignment="1">
      <alignment horizontal="center" textRotation="90"/>
    </xf>
    <xf numFmtId="0" fontId="44" fillId="0" borderId="82" xfId="0" applyFont="1" applyBorder="1" applyAlignment="1"/>
    <xf numFmtId="164" fontId="43" fillId="0" borderId="83" xfId="0" applyNumberFormat="1" applyFont="1" applyFill="1" applyBorder="1" applyAlignment="1">
      <alignment horizontal="center"/>
    </xf>
    <xf numFmtId="1" fontId="43" fillId="0" borderId="83" xfId="0" applyNumberFormat="1" applyFont="1" applyFill="1" applyBorder="1" applyAlignment="1">
      <alignment horizontal="center"/>
    </xf>
    <xf numFmtId="164" fontId="44" fillId="0" borderId="83" xfId="0" applyNumberFormat="1" applyFont="1" applyFill="1" applyBorder="1" applyAlignment="1">
      <alignment horizontal="center"/>
    </xf>
    <xf numFmtId="0" fontId="43" fillId="0" borderId="83" xfId="0" applyFont="1" applyBorder="1" applyAlignment="1">
      <alignment horizontal="center"/>
    </xf>
    <xf numFmtId="3" fontId="43" fillId="0" borderId="83" xfId="0" applyNumberFormat="1" applyFont="1" applyBorder="1" applyAlignment="1">
      <alignment horizontal="center"/>
    </xf>
    <xf numFmtId="22" fontId="44" fillId="0" borderId="86" xfId="0" applyNumberFormat="1" applyFont="1" applyBorder="1" applyAlignment="1">
      <alignment horizontal="center"/>
    </xf>
    <xf numFmtId="164" fontId="44" fillId="0" borderId="86" xfId="0" applyNumberFormat="1" applyFont="1" applyBorder="1" applyAlignment="1">
      <alignment horizontal="center"/>
    </xf>
    <xf numFmtId="22" fontId="0" fillId="0" borderId="0" xfId="0" applyNumberFormat="1" applyAlignment="1">
      <alignment horizontal="center" vertical="center"/>
    </xf>
    <xf numFmtId="0" fontId="0" fillId="0" borderId="66" xfId="0" applyFont="1" applyBorder="1" applyAlignment="1">
      <alignment horizontal="center" vertical="center"/>
    </xf>
    <xf numFmtId="0" fontId="0" fillId="0" borderId="67" xfId="0" applyFont="1" applyBorder="1" applyAlignment="1">
      <alignment horizontal="center" vertical="center"/>
    </xf>
    <xf numFmtId="2" fontId="44" fillId="0" borderId="89" xfId="0" applyNumberFormat="1" applyFont="1" applyBorder="1" applyAlignment="1">
      <alignment horizontal="center"/>
    </xf>
    <xf numFmtId="0" fontId="41" fillId="0" borderId="88" xfId="0" applyFont="1" applyBorder="1" applyAlignment="1">
      <alignment vertical="center"/>
    </xf>
    <xf numFmtId="2" fontId="48" fillId="0" borderId="0" xfId="0" applyNumberFormat="1" applyFont="1"/>
    <xf numFmtId="2" fontId="43" fillId="5" borderId="13" xfId="0" applyNumberFormat="1" applyFont="1" applyFill="1" applyBorder="1" applyAlignment="1">
      <alignment horizontal="center" textRotation="90"/>
    </xf>
    <xf numFmtId="2" fontId="44" fillId="0" borderId="0" xfId="0" applyNumberFormat="1" applyFont="1" applyBorder="1" applyAlignment="1">
      <alignment horizontal="center"/>
    </xf>
    <xf numFmtId="2" fontId="44" fillId="0" borderId="0" xfId="0" applyNumberFormat="1" applyFont="1"/>
    <xf numFmtId="2" fontId="41" fillId="0" borderId="0" xfId="0" applyNumberFormat="1" applyFont="1"/>
    <xf numFmtId="1" fontId="44" fillId="0" borderId="83" xfId="0" applyNumberFormat="1" applyFont="1" applyBorder="1" applyAlignment="1">
      <alignment horizontal="center"/>
    </xf>
    <xf numFmtId="3" fontId="48" fillId="0" borderId="0" xfId="0" applyNumberFormat="1" applyFont="1"/>
    <xf numFmtId="3" fontId="44" fillId="0" borderId="0" xfId="0" applyNumberFormat="1" applyFont="1"/>
    <xf numFmtId="3" fontId="41" fillId="0" borderId="0" xfId="0" applyNumberFormat="1" applyFont="1"/>
    <xf numFmtId="1" fontId="44" fillId="0" borderId="83" xfId="0" applyNumberFormat="1" applyFont="1" applyFill="1" applyBorder="1" applyAlignment="1">
      <alignment horizontal="center"/>
    </xf>
    <xf numFmtId="2" fontId="43" fillId="0" borderId="83" xfId="0" applyNumberFormat="1" applyFont="1" applyBorder="1" applyAlignment="1">
      <alignment horizontal="center"/>
    </xf>
    <xf numFmtId="0" fontId="62" fillId="47" borderId="90" xfId="86">
      <alignment horizontal="left"/>
    </xf>
    <xf numFmtId="0" fontId="65" fillId="41" borderId="0" xfId="0" applyFont="1" applyFill="1" applyAlignment="1">
      <alignment horizontal="center"/>
    </xf>
    <xf numFmtId="0" fontId="0" fillId="0" borderId="0" xfId="0"/>
    <xf numFmtId="0" fontId="65" fillId="0" borderId="0" xfId="0" applyFont="1" applyAlignment="1">
      <alignment horizontal="center"/>
    </xf>
    <xf numFmtId="0" fontId="64" fillId="48" borderId="0" xfId="0" applyFont="1" applyFill="1" applyAlignment="1">
      <alignment horizontal="center"/>
    </xf>
    <xf numFmtId="170" fontId="64" fillId="48" borderId="0" xfId="0" applyNumberFormat="1" applyFont="1" applyFill="1" applyAlignment="1">
      <alignment horizontal="center"/>
    </xf>
    <xf numFmtId="170" fontId="65" fillId="0" borderId="0" xfId="0" applyNumberFormat="1" applyFont="1" applyAlignment="1">
      <alignment horizontal="center"/>
    </xf>
    <xf numFmtId="170" fontId="65" fillId="41" borderId="0" xfId="0" applyNumberFormat="1" applyFont="1" applyFill="1" applyAlignment="1">
      <alignment horizontal="center"/>
    </xf>
    <xf numFmtId="170" fontId="0" fillId="0" borderId="0" xfId="0" applyNumberFormat="1"/>
    <xf numFmtId="22" fontId="64" fillId="48" borderId="0" xfId="0" applyNumberFormat="1" applyFont="1" applyFill="1" applyAlignment="1">
      <alignment horizontal="center"/>
    </xf>
    <xf numFmtId="22" fontId="65" fillId="0" borderId="0" xfId="0" applyNumberFormat="1" applyFont="1" applyAlignment="1">
      <alignment horizontal="center"/>
    </xf>
    <xf numFmtId="22" fontId="65" fillId="41" borderId="0" xfId="0" applyNumberFormat="1" applyFont="1" applyFill="1" applyAlignment="1">
      <alignment horizontal="center"/>
    </xf>
    <xf numFmtId="22" fontId="0" fillId="0" borderId="0" xfId="0" applyNumberFormat="1"/>
    <xf numFmtId="0" fontId="44" fillId="5" borderId="79" xfId="0" applyFont="1" applyFill="1" applyBorder="1" applyAlignment="1" applyProtection="1">
      <protection locked="0"/>
    </xf>
    <xf numFmtId="0" fontId="44" fillId="5" borderId="80" xfId="0" applyFont="1" applyFill="1" applyBorder="1" applyAlignment="1" applyProtection="1">
      <protection locked="0"/>
    </xf>
    <xf numFmtId="22" fontId="43" fillId="5" borderId="80" xfId="0" applyNumberFormat="1" applyFont="1" applyFill="1" applyBorder="1" applyAlignment="1">
      <alignment horizontal="center" vertical="center" wrapText="1"/>
    </xf>
    <xf numFmtId="1" fontId="44" fillId="5" borderId="80" xfId="0" applyNumberFormat="1" applyFont="1" applyFill="1" applyBorder="1" applyAlignment="1">
      <alignment horizontal="center" vertical="center" wrapText="1"/>
    </xf>
    <xf numFmtId="0" fontId="44" fillId="5" borderId="80" xfId="0" applyFont="1" applyFill="1" applyBorder="1" applyAlignment="1">
      <alignment horizontal="center" vertical="center"/>
    </xf>
    <xf numFmtId="0" fontId="44" fillId="5" borderId="80" xfId="0" applyFont="1" applyFill="1" applyBorder="1" applyAlignment="1">
      <alignment horizontal="center" vertical="center" wrapText="1"/>
    </xf>
    <xf numFmtId="0" fontId="44" fillId="0" borderId="80" xfId="0" applyFont="1" applyBorder="1" applyAlignment="1">
      <alignment horizontal="center" vertical="center"/>
    </xf>
    <xf numFmtId="3" fontId="44" fillId="5" borderId="80" xfId="0" applyNumberFormat="1" applyFont="1" applyFill="1" applyBorder="1" applyAlignment="1">
      <alignment horizontal="center" vertical="center"/>
    </xf>
    <xf numFmtId="2" fontId="44" fillId="0" borderId="80" xfId="0" applyNumberFormat="1" applyFont="1" applyBorder="1" applyAlignment="1">
      <alignment horizontal="center" vertical="center"/>
    </xf>
    <xf numFmtId="0" fontId="44" fillId="0" borderId="81" xfId="0" applyFont="1" applyBorder="1" applyAlignment="1">
      <alignment horizontal="center" vertical="center"/>
    </xf>
    <xf numFmtId="0" fontId="0" fillId="0" borderId="83" xfId="0" applyFont="1" applyBorder="1" applyAlignment="1">
      <alignment horizontal="center" vertical="center"/>
    </xf>
    <xf numFmtId="3" fontId="44" fillId="41" borderId="83" xfId="0" applyNumberFormat="1" applyFont="1" applyFill="1" applyBorder="1" applyAlignment="1">
      <alignment horizontal="center"/>
    </xf>
    <xf numFmtId="0" fontId="46" fillId="0" borderId="82" xfId="0" applyFont="1" applyBorder="1" applyAlignment="1">
      <alignment horizontal="left" vertical="center"/>
    </xf>
    <xf numFmtId="0" fontId="65" fillId="0" borderId="83" xfId="0" applyFont="1" applyBorder="1" applyAlignment="1">
      <alignment horizontal="center"/>
    </xf>
    <xf numFmtId="0" fontId="46" fillId="0" borderId="82" xfId="0" applyFont="1" applyBorder="1" applyAlignment="1">
      <alignment horizontal="center" vertical="center"/>
    </xf>
    <xf numFmtId="22" fontId="46" fillId="0" borderId="83" xfId="0" applyNumberFormat="1" applyFont="1" applyBorder="1" applyAlignment="1">
      <alignment horizontal="center"/>
    </xf>
    <xf numFmtId="0" fontId="46" fillId="0" borderId="82" xfId="0" applyFont="1" applyBorder="1" applyAlignment="1">
      <alignment horizontal="center"/>
    </xf>
    <xf numFmtId="0" fontId="65" fillId="41" borderId="83" xfId="0" applyFont="1" applyFill="1" applyBorder="1" applyAlignment="1">
      <alignment horizontal="center"/>
    </xf>
    <xf numFmtId="0" fontId="0" fillId="0" borderId="83" xfId="0" applyFont="1" applyFill="1" applyBorder="1" applyAlignment="1">
      <alignment horizontal="center" vertical="center"/>
    </xf>
    <xf numFmtId="0" fontId="44" fillId="0" borderId="85" xfId="0" applyFont="1" applyBorder="1" applyAlignment="1">
      <alignment horizontal="center"/>
    </xf>
    <xf numFmtId="0" fontId="0" fillId="0" borderId="86" xfId="0" applyFont="1" applyBorder="1" applyAlignment="1">
      <alignment horizontal="center" vertical="center"/>
    </xf>
    <xf numFmtId="166" fontId="44" fillId="5" borderId="83" xfId="0" applyNumberFormat="1" applyFont="1" applyFill="1" applyBorder="1" applyAlignment="1">
      <alignment horizontal="center"/>
    </xf>
    <xf numFmtId="3" fontId="44" fillId="5" borderId="83" xfId="0" applyNumberFormat="1" applyFont="1" applyFill="1" applyBorder="1" applyAlignment="1">
      <alignment horizontal="center"/>
    </xf>
    <xf numFmtId="4" fontId="44" fillId="5" borderId="83" xfId="0" applyNumberFormat="1" applyFont="1" applyFill="1" applyBorder="1" applyAlignment="1">
      <alignment horizontal="center"/>
    </xf>
    <xf numFmtId="2" fontId="44" fillId="5" borderId="83" xfId="0" applyNumberFormat="1" applyFont="1" applyFill="1" applyBorder="1" applyAlignment="1">
      <alignment horizontal="center"/>
    </xf>
    <xf numFmtId="0" fontId="44" fillId="5" borderId="83" xfId="0" applyFont="1" applyFill="1" applyBorder="1" applyAlignment="1">
      <alignment horizontal="center"/>
    </xf>
    <xf numFmtId="1" fontId="44" fillId="5" borderId="83" xfId="0" applyNumberFormat="1" applyFont="1" applyFill="1" applyBorder="1" applyAlignment="1">
      <alignment horizontal="center"/>
    </xf>
    <xf numFmtId="164" fontId="44" fillId="5" borderId="83" xfId="0" applyNumberFormat="1" applyFont="1" applyFill="1" applyBorder="1" applyAlignment="1">
      <alignment horizontal="center"/>
    </xf>
    <xf numFmtId="3" fontId="44" fillId="5" borderId="84" xfId="0" applyNumberFormat="1" applyFont="1" applyFill="1" applyBorder="1" applyAlignment="1">
      <alignment horizontal="center"/>
    </xf>
    <xf numFmtId="1" fontId="43" fillId="5" borderId="83" xfId="0" applyNumberFormat="1" applyFont="1" applyFill="1" applyBorder="1" applyAlignment="1">
      <alignment horizontal="center"/>
    </xf>
    <xf numFmtId="171" fontId="0" fillId="0" borderId="0" xfId="0" applyNumberFormat="1"/>
    <xf numFmtId="0" fontId="0" fillId="49" borderId="0" xfId="0" applyFill="1"/>
    <xf numFmtId="171" fontId="0" fillId="49" borderId="0" xfId="0" applyNumberFormat="1" applyFill="1"/>
    <xf numFmtId="0" fontId="0" fillId="0" borderId="0" xfId="0" applyFill="1"/>
    <xf numFmtId="0" fontId="44" fillId="4" borderId="79" xfId="0" applyFont="1" applyFill="1" applyBorder="1" applyAlignment="1"/>
    <xf numFmtId="0" fontId="44" fillId="4" borderId="80" xfId="0" applyFont="1" applyFill="1" applyBorder="1" applyAlignment="1"/>
    <xf numFmtId="0" fontId="58" fillId="4" borderId="80" xfId="0" applyFont="1" applyFill="1" applyBorder="1" applyAlignment="1">
      <alignment horizontal="center"/>
    </xf>
    <xf numFmtId="0" fontId="44" fillId="41" borderId="82" xfId="0" applyFont="1" applyFill="1" applyBorder="1" applyAlignment="1">
      <alignment vertical="center"/>
    </xf>
    <xf numFmtId="0" fontId="44" fillId="41" borderId="83" xfId="0" applyFont="1" applyFill="1" applyBorder="1" applyAlignment="1">
      <alignment vertical="center"/>
    </xf>
    <xf numFmtId="0" fontId="58" fillId="38" borderId="83" xfId="0" applyFont="1" applyFill="1" applyBorder="1" applyAlignment="1">
      <alignment horizontal="center" vertical="center"/>
    </xf>
    <xf numFmtId="0" fontId="58" fillId="38" borderId="83" xfId="0" applyFont="1" applyFill="1" applyBorder="1" applyAlignment="1">
      <alignment vertical="center"/>
    </xf>
    <xf numFmtId="0" fontId="59" fillId="39" borderId="83" xfId="0" applyFont="1" applyFill="1" applyBorder="1" applyAlignment="1">
      <alignment horizontal="center" vertical="center" wrapText="1"/>
    </xf>
    <xf numFmtId="0" fontId="59" fillId="39" borderId="83" xfId="0" applyFont="1" applyFill="1" applyBorder="1" applyAlignment="1">
      <alignment horizontal="center" vertical="center"/>
    </xf>
    <xf numFmtId="164" fontId="59" fillId="39" borderId="83" xfId="0" applyNumberFormat="1" applyFont="1" applyFill="1" applyBorder="1" applyAlignment="1">
      <alignment horizontal="center" vertical="center"/>
    </xf>
    <xf numFmtId="2" fontId="59" fillId="39" borderId="83" xfId="0" applyNumberFormat="1" applyFont="1" applyFill="1" applyBorder="1" applyAlignment="1">
      <alignment horizontal="center" vertical="center"/>
    </xf>
    <xf numFmtId="16" fontId="59" fillId="39" borderId="83" xfId="0" applyNumberFormat="1" applyFont="1" applyFill="1" applyBorder="1" applyAlignment="1">
      <alignment horizontal="center" vertical="center"/>
    </xf>
    <xf numFmtId="17" fontId="59" fillId="39" borderId="83" xfId="0" quotePrefix="1" applyNumberFormat="1" applyFont="1" applyFill="1" applyBorder="1" applyAlignment="1">
      <alignment horizontal="center" vertical="center"/>
    </xf>
    <xf numFmtId="16" fontId="59" fillId="39" borderId="83" xfId="0" quotePrefix="1" applyNumberFormat="1" applyFont="1" applyFill="1" applyBorder="1" applyAlignment="1">
      <alignment horizontal="center" vertical="center"/>
    </xf>
    <xf numFmtId="0" fontId="59" fillId="39" borderId="84" xfId="0" applyFont="1" applyFill="1" applyBorder="1" applyAlignment="1">
      <alignment horizontal="center" vertical="center"/>
    </xf>
    <xf numFmtId="0" fontId="44" fillId="5" borderId="82" xfId="0" applyFont="1" applyFill="1" applyBorder="1" applyAlignment="1">
      <alignment vertical="center" wrapText="1"/>
    </xf>
    <xf numFmtId="0" fontId="44" fillId="5" borderId="83" xfId="0" applyFont="1" applyFill="1" applyBorder="1" applyAlignment="1">
      <alignment vertical="center" wrapText="1"/>
    </xf>
    <xf numFmtId="0" fontId="44" fillId="5" borderId="83" xfId="0" applyFont="1" applyFill="1" applyBorder="1" applyAlignment="1">
      <alignment horizontal="center" vertical="center" wrapText="1"/>
    </xf>
    <xf numFmtId="0" fontId="44" fillId="0" borderId="83" xfId="0" applyFont="1" applyFill="1" applyBorder="1" applyAlignment="1">
      <alignment horizontal="center" vertical="center" wrapText="1"/>
    </xf>
    <xf numFmtId="0" fontId="43" fillId="5" borderId="83" xfId="0" applyFont="1" applyFill="1" applyBorder="1" applyAlignment="1">
      <alignment horizontal="center" textRotation="90"/>
    </xf>
    <xf numFmtId="164" fontId="44" fillId="5" borderId="83" xfId="0" applyNumberFormat="1" applyFont="1" applyFill="1" applyBorder="1" applyAlignment="1">
      <alignment horizontal="center" vertical="center" wrapText="1"/>
    </xf>
    <xf numFmtId="2" fontId="44" fillId="5" borderId="83" xfId="0" applyNumberFormat="1" applyFont="1" applyFill="1" applyBorder="1" applyAlignment="1">
      <alignment horizontal="center" vertical="center" wrapText="1"/>
    </xf>
    <xf numFmtId="0" fontId="44" fillId="5" borderId="84" xfId="0" applyFont="1" applyFill="1" applyBorder="1" applyAlignment="1">
      <alignment horizontal="center" vertical="center" wrapText="1"/>
    </xf>
    <xf numFmtId="0" fontId="58" fillId="0" borderId="83" xfId="0" applyFont="1" applyBorder="1" applyAlignment="1">
      <alignment horizontal="center" vertical="center"/>
    </xf>
    <xf numFmtId="0" fontId="44" fillId="0" borderId="84" xfId="0" applyFont="1" applyBorder="1" applyAlignment="1">
      <alignment horizontal="center"/>
    </xf>
    <xf numFmtId="0" fontId="46" fillId="0" borderId="83" xfId="0" applyFont="1" applyBorder="1" applyAlignment="1">
      <alignment horizontal="left" vertical="center"/>
    </xf>
    <xf numFmtId="0" fontId="44" fillId="5" borderId="84" xfId="0" applyFont="1" applyFill="1" applyBorder="1" applyAlignment="1">
      <alignment horizontal="center"/>
    </xf>
    <xf numFmtId="0" fontId="46" fillId="0" borderId="83" xfId="0" applyFont="1" applyBorder="1" applyAlignment="1">
      <alignment horizontal="center" vertical="center"/>
    </xf>
    <xf numFmtId="0" fontId="46" fillId="0" borderId="83" xfId="0" applyFont="1" applyBorder="1" applyAlignment="1">
      <alignment horizontal="center"/>
    </xf>
    <xf numFmtId="0" fontId="44" fillId="0" borderId="85" xfId="0" applyFont="1" applyBorder="1" applyAlignment="1"/>
    <xf numFmtId="0" fontId="58" fillId="0" borderId="86" xfId="0" applyFont="1" applyBorder="1" applyAlignment="1">
      <alignment horizontal="center" vertical="center"/>
    </xf>
    <xf numFmtId="164" fontId="44" fillId="0" borderId="86" xfId="0" applyNumberFormat="1" applyFont="1" applyFill="1" applyBorder="1" applyAlignment="1">
      <alignment horizontal="center"/>
    </xf>
    <xf numFmtId="0" fontId="44" fillId="0" borderId="87" xfId="0" applyFont="1" applyBorder="1" applyAlignment="1">
      <alignment horizontal="center"/>
    </xf>
    <xf numFmtId="0" fontId="44" fillId="5" borderId="82" xfId="0" applyFont="1" applyFill="1" applyBorder="1" applyAlignment="1">
      <alignment horizontal="center" vertical="center" wrapText="1"/>
    </xf>
    <xf numFmtId="0" fontId="48" fillId="0" borderId="0" xfId="0" applyNumberFormat="1" applyFont="1"/>
    <xf numFmtId="0" fontId="43" fillId="5" borderId="0" xfId="0" applyNumberFormat="1" applyFont="1" applyFill="1" applyBorder="1" applyAlignment="1">
      <alignment horizontal="center" textRotation="90"/>
    </xf>
    <xf numFmtId="0" fontId="44" fillId="0" borderId="80" xfId="0" applyNumberFormat="1" applyFont="1" applyBorder="1" applyAlignment="1">
      <alignment horizontal="center" vertical="center"/>
    </xf>
    <xf numFmtId="0" fontId="44" fillId="0" borderId="0" xfId="0" applyNumberFormat="1" applyFont="1" applyBorder="1" applyAlignment="1">
      <alignment horizontal="center"/>
    </xf>
    <xf numFmtId="0" fontId="44" fillId="0" borderId="0" xfId="0" applyNumberFormat="1" applyFont="1"/>
    <xf numFmtId="0" fontId="41" fillId="0" borderId="0" xfId="0" applyNumberFormat="1" applyFont="1"/>
    <xf numFmtId="22" fontId="0" fillId="0" borderId="67" xfId="0" applyNumberFormat="1" applyBorder="1" applyAlignment="1">
      <alignment horizontal="center"/>
    </xf>
    <xf numFmtId="22" fontId="0" fillId="0" borderId="0" xfId="0" applyNumberFormat="1" applyBorder="1" applyAlignment="1">
      <alignment horizontal="center"/>
    </xf>
    <xf numFmtId="169" fontId="0" fillId="0" borderId="67" xfId="0" applyNumberFormat="1" applyFont="1" applyBorder="1" applyAlignment="1">
      <alignment horizontal="center"/>
    </xf>
    <xf numFmtId="0" fontId="0" fillId="41" borderId="67" xfId="0" applyFont="1" applyFill="1" applyBorder="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2" fontId="44" fillId="41" borderId="83" xfId="0" applyNumberFormat="1" applyFont="1" applyFill="1" applyBorder="1" applyAlignment="1">
      <alignment horizontal="center"/>
    </xf>
    <xf numFmtId="0" fontId="0" fillId="5" borderId="67" xfId="0" applyFont="1" applyFill="1" applyBorder="1" applyAlignment="1">
      <alignment horizontal="center" vertical="center"/>
    </xf>
    <xf numFmtId="0" fontId="44" fillId="0" borderId="0" xfId="0" applyFont="1" applyBorder="1" applyAlignment="1">
      <alignment horizontal="right" vertical="center"/>
    </xf>
    <xf numFmtId="0" fontId="44" fillId="0" borderId="0" xfId="0" applyFont="1" applyBorder="1" applyAlignment="1">
      <alignment horizontal="left" vertical="center"/>
    </xf>
    <xf numFmtId="1" fontId="41" fillId="40" borderId="23" xfId="0" applyNumberFormat="1" applyFont="1" applyFill="1" applyBorder="1" applyAlignment="1">
      <alignment vertical="center"/>
    </xf>
    <xf numFmtId="0" fontId="41" fillId="40" borderId="23" xfId="0" applyFont="1" applyFill="1" applyBorder="1" applyAlignment="1">
      <alignment vertical="center"/>
    </xf>
    <xf numFmtId="0" fontId="41" fillId="40" borderId="91" xfId="0" applyFont="1" applyFill="1" applyBorder="1" applyAlignment="1">
      <alignment vertical="center"/>
    </xf>
    <xf numFmtId="0" fontId="46" fillId="0" borderId="85" xfId="0" applyFont="1" applyBorder="1" applyAlignment="1">
      <alignment horizontal="center"/>
    </xf>
    <xf numFmtId="0" fontId="0" fillId="0" borderId="93" xfId="0" applyFont="1" applyBorder="1" applyAlignment="1">
      <alignment horizontal="center" vertical="center"/>
    </xf>
    <xf numFmtId="1" fontId="44" fillId="0" borderId="86" xfId="0" applyNumberFormat="1" applyFont="1" applyBorder="1" applyAlignment="1">
      <alignment horizontal="center"/>
    </xf>
    <xf numFmtId="0" fontId="44" fillId="5" borderId="94" xfId="0" applyFont="1" applyFill="1" applyBorder="1" applyAlignment="1" applyProtection="1">
      <protection locked="0"/>
    </xf>
    <xf numFmtId="0" fontId="44" fillId="5" borderId="95" xfId="0" applyFont="1" applyFill="1" applyBorder="1" applyAlignment="1" applyProtection="1">
      <protection locked="0"/>
    </xf>
    <xf numFmtId="22" fontId="43" fillId="5" borderId="95" xfId="0" applyNumberFormat="1" applyFont="1" applyFill="1" applyBorder="1" applyAlignment="1">
      <alignment horizontal="center" vertical="center" wrapText="1"/>
    </xf>
    <xf numFmtId="22" fontId="43" fillId="5" borderId="96" xfId="0" applyNumberFormat="1" applyFont="1" applyFill="1" applyBorder="1" applyAlignment="1">
      <alignment horizontal="center" vertical="center" wrapText="1"/>
    </xf>
    <xf numFmtId="1" fontId="44" fillId="5" borderId="97" xfId="0" applyNumberFormat="1" applyFont="1" applyFill="1" applyBorder="1" applyAlignment="1">
      <alignment horizontal="center" vertical="center" wrapText="1"/>
    </xf>
    <xf numFmtId="0" fontId="44" fillId="5" borderId="98" xfId="0" applyFont="1" applyFill="1" applyBorder="1" applyAlignment="1">
      <alignment horizontal="center" vertical="center" wrapText="1"/>
    </xf>
    <xf numFmtId="0" fontId="43" fillId="5" borderId="108" xfId="0" applyNumberFormat="1" applyFont="1" applyFill="1" applyBorder="1" applyAlignment="1">
      <alignment horizontal="center" vertical="center"/>
    </xf>
    <xf numFmtId="167" fontId="44" fillId="0" borderId="83" xfId="0" applyNumberFormat="1" applyFont="1" applyFill="1" applyBorder="1" applyAlignment="1">
      <alignment horizontal="center"/>
    </xf>
    <xf numFmtId="2" fontId="44" fillId="0" borderId="86" xfId="0" applyNumberFormat="1" applyFont="1" applyFill="1" applyBorder="1" applyAlignment="1">
      <alignment horizontal="center"/>
    </xf>
    <xf numFmtId="0" fontId="4" fillId="0" borderId="43" xfId="0" applyFont="1" applyFill="1" applyBorder="1"/>
    <xf numFmtId="0" fontId="63" fillId="0" borderId="43" xfId="0" applyFont="1" applyFill="1" applyBorder="1"/>
    <xf numFmtId="0" fontId="4" fillId="0" borderId="43" xfId="0" applyFont="1" applyFill="1" applyBorder="1" applyAlignment="1">
      <alignment horizontal="left"/>
    </xf>
    <xf numFmtId="0" fontId="66" fillId="0" borderId="0" xfId="0" applyNumberFormat="1" applyFont="1" applyFill="1" applyBorder="1" applyAlignment="1" applyProtection="1"/>
    <xf numFmtId="22" fontId="44" fillId="0" borderId="119" xfId="0" applyNumberFormat="1" applyFont="1" applyBorder="1" applyAlignment="1">
      <alignment horizontal="center"/>
    </xf>
    <xf numFmtId="0" fontId="49" fillId="0" borderId="0" xfId="0" applyFont="1" applyBorder="1" applyAlignment="1">
      <alignment horizontal="right"/>
    </xf>
    <xf numFmtId="0" fontId="44" fillId="0" borderId="120" xfId="0" applyFont="1" applyBorder="1" applyAlignment="1">
      <alignment horizontal="center"/>
    </xf>
    <xf numFmtId="0" fontId="44" fillId="0" borderId="121" xfId="0" applyFont="1" applyBorder="1" applyAlignment="1">
      <alignment horizontal="center"/>
    </xf>
    <xf numFmtId="4" fontId="44" fillId="0" borderId="122" xfId="0" applyNumberFormat="1" applyFont="1" applyBorder="1" applyAlignment="1">
      <alignment horizontal="center"/>
    </xf>
    <xf numFmtId="0" fontId="32" fillId="0" borderId="124" xfId="0" applyFont="1" applyFill="1" applyBorder="1" applyAlignment="1"/>
    <xf numFmtId="0" fontId="67" fillId="0" borderId="123" xfId="0" applyFont="1" applyFill="1" applyBorder="1" applyAlignment="1">
      <alignment horizontal="center" vertical="center"/>
    </xf>
    <xf numFmtId="0" fontId="43" fillId="5" borderId="15" xfId="0" applyFont="1" applyFill="1" applyBorder="1" applyAlignment="1">
      <alignment horizontal="center" vertical="center"/>
    </xf>
    <xf numFmtId="0" fontId="43" fillId="0" borderId="0" xfId="0" applyFont="1" applyBorder="1" applyAlignment="1">
      <alignment horizontal="center" vertical="center"/>
    </xf>
    <xf numFmtId="0" fontId="0" fillId="0" borderId="0" xfId="0" applyAlignment="1">
      <alignment horizontal="center" vertical="center"/>
    </xf>
    <xf numFmtId="0" fontId="44" fillId="5" borderId="69" xfId="0" applyFont="1" applyFill="1" applyBorder="1" applyAlignment="1">
      <alignment horizontal="center" vertical="center"/>
    </xf>
    <xf numFmtId="0" fontId="44" fillId="5" borderId="70" xfId="0" applyFont="1" applyFill="1" applyBorder="1" applyAlignment="1">
      <alignment horizontal="center" vertical="center"/>
    </xf>
    <xf numFmtId="0" fontId="44" fillId="5" borderId="98" xfId="0" applyFont="1" applyFill="1" applyBorder="1" applyAlignment="1">
      <alignment horizontal="center" vertical="center"/>
    </xf>
    <xf numFmtId="0" fontId="44" fillId="5" borderId="99" xfId="0" applyFont="1" applyFill="1" applyBorder="1" applyAlignment="1">
      <alignment horizontal="center" vertical="center"/>
    </xf>
    <xf numFmtId="0" fontId="32" fillId="0" borderId="0" xfId="0" applyFont="1" applyAlignment="1">
      <alignment horizontal="left" vertical="center" wrapText="1"/>
    </xf>
    <xf numFmtId="0" fontId="27" fillId="0" borderId="0" xfId="0" applyFont="1" applyAlignment="1">
      <alignment vertical="center" wrapText="1"/>
    </xf>
    <xf numFmtId="0" fontId="27" fillId="0" borderId="22" xfId="0" applyFont="1" applyBorder="1" applyAlignment="1">
      <alignment vertical="center" wrapText="1"/>
    </xf>
    <xf numFmtId="4" fontId="43" fillId="0" borderId="83" xfId="0" applyNumberFormat="1" applyFont="1" applyBorder="1" applyAlignment="1">
      <alignment horizontal="center"/>
    </xf>
    <xf numFmtId="1" fontId="0" fillId="0" borderId="0" xfId="0" applyNumberFormat="1"/>
    <xf numFmtId="0" fontId="36" fillId="0" borderId="11" xfId="0" applyFont="1" applyBorder="1" applyAlignment="1">
      <alignment horizontal="center" vertical="center" textRotation="90"/>
    </xf>
    <xf numFmtId="0" fontId="6" fillId="0" borderId="11" xfId="0" applyFont="1" applyBorder="1" applyAlignment="1">
      <alignment horizontal="center" vertical="center" textRotation="90"/>
    </xf>
    <xf numFmtId="0" fontId="6" fillId="0" borderId="45" xfId="0" applyFont="1" applyBorder="1" applyAlignment="1">
      <alignment horizontal="center" vertical="center" textRotation="90"/>
    </xf>
    <xf numFmtId="0" fontId="7" fillId="0" borderId="11" xfId="0" applyFont="1" applyBorder="1" applyAlignment="1"/>
    <xf numFmtId="0" fontId="0" fillId="0" borderId="11" xfId="0" applyBorder="1" applyAlignment="1"/>
    <xf numFmtId="0" fontId="42" fillId="40" borderId="61" xfId="0" applyFont="1" applyFill="1" applyBorder="1" applyAlignment="1">
      <alignment horizontal="center" vertical="center"/>
    </xf>
    <xf numFmtId="0" fontId="42" fillId="40" borderId="59" xfId="0" applyFont="1" applyFill="1" applyBorder="1" applyAlignment="1">
      <alignment horizontal="center" vertical="center"/>
    </xf>
    <xf numFmtId="0" fontId="42" fillId="40" borderId="62" xfId="0" applyFont="1" applyFill="1" applyBorder="1" applyAlignment="1">
      <alignment horizontal="center" vertical="center"/>
    </xf>
    <xf numFmtId="0" fontId="43" fillId="5" borderId="38" xfId="0" applyFont="1" applyFill="1" applyBorder="1" applyAlignment="1">
      <alignment horizontal="center" textRotation="90"/>
    </xf>
    <xf numFmtId="0" fontId="44" fillId="0" borderId="35" xfId="0" applyFont="1" applyBorder="1" applyAlignment="1">
      <alignment horizontal="center"/>
    </xf>
    <xf numFmtId="0" fontId="43" fillId="5" borderId="16" xfId="0" applyFont="1" applyFill="1" applyBorder="1" applyAlignment="1">
      <alignment horizontal="center" textRotation="90"/>
    </xf>
    <xf numFmtId="0" fontId="44" fillId="0" borderId="10" xfId="0" applyFont="1" applyBorder="1" applyAlignment="1">
      <alignment horizontal="center"/>
    </xf>
    <xf numFmtId="0" fontId="43" fillId="5" borderId="29" xfId="0" applyFont="1" applyFill="1" applyBorder="1" applyAlignment="1">
      <alignment horizontal="center" vertical="center"/>
    </xf>
    <xf numFmtId="0" fontId="43" fillId="5" borderId="15" xfId="0" applyFont="1" applyFill="1" applyBorder="1" applyAlignment="1">
      <alignment horizontal="center" vertical="center"/>
    </xf>
    <xf numFmtId="0" fontId="44" fillId="0" borderId="15" xfId="0" applyFont="1" applyBorder="1" applyAlignment="1">
      <alignment horizontal="center" vertical="center"/>
    </xf>
    <xf numFmtId="0" fontId="44" fillId="0" borderId="34" xfId="0" applyFont="1" applyBorder="1" applyAlignment="1">
      <alignment horizontal="center" vertical="center"/>
    </xf>
    <xf numFmtId="0" fontId="43" fillId="5" borderId="29" xfId="0" applyFont="1" applyFill="1" applyBorder="1" applyAlignment="1">
      <alignment horizontal="center" vertical="center" wrapText="1"/>
    </xf>
    <xf numFmtId="0" fontId="43" fillId="5" borderId="15" xfId="0" applyFont="1" applyFill="1" applyBorder="1" applyAlignment="1">
      <alignment horizontal="center" vertical="center" wrapText="1"/>
    </xf>
    <xf numFmtId="0" fontId="43" fillId="5" borderId="30" xfId="0" applyFont="1" applyFill="1" applyBorder="1" applyAlignment="1">
      <alignment horizontal="center" vertical="center" wrapText="1"/>
    </xf>
    <xf numFmtId="0" fontId="43" fillId="5" borderId="30" xfId="0" applyFont="1" applyFill="1" applyBorder="1" applyAlignment="1">
      <alignment horizontal="center" vertical="center"/>
    </xf>
    <xf numFmtId="0" fontId="43" fillId="5" borderId="37" xfId="0" applyFont="1" applyFill="1" applyBorder="1" applyAlignment="1">
      <alignment horizontal="center" textRotation="90"/>
    </xf>
    <xf numFmtId="0" fontId="44" fillId="0" borderId="54" xfId="0" applyFont="1" applyBorder="1" applyAlignment="1">
      <alignment horizontal="center"/>
    </xf>
    <xf numFmtId="3" fontId="43" fillId="5" borderId="16" xfId="0" applyNumberFormat="1" applyFont="1" applyFill="1" applyBorder="1" applyAlignment="1">
      <alignment horizontal="center" textRotation="90"/>
    </xf>
    <xf numFmtId="3" fontId="44" fillId="0" borderId="10" xfId="0" applyNumberFormat="1" applyFont="1" applyBorder="1" applyAlignment="1">
      <alignment horizontal="center"/>
    </xf>
    <xf numFmtId="0" fontId="43" fillId="5" borderId="36" xfId="0" applyFont="1" applyFill="1" applyBorder="1" applyAlignment="1">
      <alignment horizontal="center" vertical="center"/>
    </xf>
    <xf numFmtId="0" fontId="43" fillId="5" borderId="18" xfId="0" applyFont="1" applyFill="1" applyBorder="1" applyAlignment="1">
      <alignment horizontal="center" vertical="center"/>
    </xf>
    <xf numFmtId="0" fontId="43" fillId="5" borderId="19" xfId="0" applyFont="1" applyFill="1" applyBorder="1" applyAlignment="1">
      <alignment horizontal="center" vertical="center"/>
    </xf>
    <xf numFmtId="0" fontId="43" fillId="5" borderId="17" xfId="0" applyFont="1" applyFill="1" applyBorder="1" applyAlignment="1">
      <alignment horizontal="center" vertical="center"/>
    </xf>
    <xf numFmtId="0" fontId="43" fillId="5" borderId="64" xfId="0" applyFont="1" applyFill="1" applyBorder="1" applyAlignment="1">
      <alignment horizontal="center" vertical="center"/>
    </xf>
    <xf numFmtId="0" fontId="43" fillId="0" borderId="0" xfId="0" applyFont="1" applyBorder="1" applyAlignment="1">
      <alignment horizontal="center" vertical="center"/>
    </xf>
    <xf numFmtId="0" fontId="0" fillId="0" borderId="0" xfId="0" applyAlignment="1">
      <alignment horizontal="center" vertical="center"/>
    </xf>
    <xf numFmtId="0" fontId="44" fillId="5" borderId="69" xfId="0" applyFont="1" applyFill="1" applyBorder="1" applyAlignment="1">
      <alignment horizontal="center" vertical="center"/>
    </xf>
    <xf numFmtId="0" fontId="44" fillId="0" borderId="69" xfId="0" applyFont="1" applyBorder="1" applyAlignment="1">
      <alignment horizontal="center" vertical="center"/>
    </xf>
    <xf numFmtId="0" fontId="44" fillId="0" borderId="74" xfId="0" applyFont="1" applyBorder="1" applyAlignment="1">
      <alignment horizontal="center" vertical="center"/>
    </xf>
    <xf numFmtId="0" fontId="44" fillId="5" borderId="73" xfId="0" applyFont="1" applyFill="1" applyBorder="1" applyAlignment="1">
      <alignment horizontal="center" vertical="center"/>
    </xf>
    <xf numFmtId="0" fontId="44" fillId="5" borderId="72" xfId="0" applyFont="1" applyFill="1" applyBorder="1" applyAlignment="1">
      <alignment horizontal="center" vertical="center"/>
    </xf>
    <xf numFmtId="0" fontId="43" fillId="5" borderId="48" xfId="0" applyFont="1" applyFill="1" applyBorder="1" applyAlignment="1">
      <alignment horizontal="center" vertical="center" wrapText="1"/>
    </xf>
    <xf numFmtId="0" fontId="43" fillId="5" borderId="49" xfId="0" applyFont="1" applyFill="1" applyBorder="1" applyAlignment="1">
      <alignment horizontal="center" vertical="center" wrapText="1"/>
    </xf>
    <xf numFmtId="0" fontId="44" fillId="0" borderId="50" xfId="0" applyFont="1" applyBorder="1" applyAlignment="1">
      <alignment horizontal="center" vertical="center" wrapText="1"/>
    </xf>
    <xf numFmtId="0" fontId="44" fillId="5" borderId="71" xfId="0" applyFont="1" applyFill="1" applyBorder="1" applyAlignment="1">
      <alignment horizontal="center" vertical="center"/>
    </xf>
    <xf numFmtId="0" fontId="44" fillId="0" borderId="72" xfId="0" applyFont="1" applyBorder="1" applyAlignment="1">
      <alignment horizontal="center" vertical="center"/>
    </xf>
    <xf numFmtId="0" fontId="44" fillId="5" borderId="70" xfId="0" applyFont="1" applyFill="1" applyBorder="1" applyAlignment="1">
      <alignment horizontal="center" vertical="center"/>
    </xf>
    <xf numFmtId="0" fontId="59" fillId="4" borderId="80" xfId="0" applyFont="1" applyFill="1" applyBorder="1" applyAlignment="1">
      <alignment horizontal="center" vertical="center" wrapText="1"/>
    </xf>
    <xf numFmtId="0" fontId="59" fillId="4" borderId="80" xfId="0" applyFont="1" applyFill="1" applyBorder="1" applyAlignment="1">
      <alignment horizontal="center" vertical="center"/>
    </xf>
    <xf numFmtId="0" fontId="59" fillId="4" borderId="81" xfId="0" applyFont="1" applyFill="1" applyBorder="1" applyAlignment="1">
      <alignment horizontal="center" vertical="center"/>
    </xf>
    <xf numFmtId="0" fontId="57" fillId="0" borderId="0" xfId="0" applyFont="1" applyBorder="1" applyAlignment="1">
      <alignment horizontal="center" vertical="center"/>
    </xf>
    <xf numFmtId="0" fontId="42" fillId="40" borderId="92" xfId="0" applyFont="1" applyFill="1" applyBorder="1" applyAlignment="1">
      <alignment horizontal="center" vertical="center"/>
    </xf>
    <xf numFmtId="0" fontId="42" fillId="40" borderId="23" xfId="0" applyFont="1" applyFill="1" applyBorder="1" applyAlignment="1">
      <alignment horizontal="center" vertical="center"/>
    </xf>
    <xf numFmtId="0" fontId="42" fillId="40" borderId="25" xfId="0" applyFont="1" applyFill="1" applyBorder="1" applyAlignment="1">
      <alignment horizontal="center" vertical="center"/>
    </xf>
    <xf numFmtId="0" fontId="43" fillId="5" borderId="104" xfId="0" applyFont="1" applyFill="1" applyBorder="1" applyAlignment="1">
      <alignment horizontal="center" vertical="center" wrapText="1"/>
    </xf>
    <xf numFmtId="0" fontId="43" fillId="5" borderId="105" xfId="0" applyFont="1" applyFill="1" applyBorder="1" applyAlignment="1">
      <alignment horizontal="center" vertical="center" wrapText="1"/>
    </xf>
    <xf numFmtId="0" fontId="44" fillId="0" borderId="106" xfId="0" applyFont="1" applyBorder="1" applyAlignment="1">
      <alignment horizontal="center" vertical="center" wrapText="1"/>
    </xf>
    <xf numFmtId="0" fontId="43" fillId="5" borderId="107" xfId="0" applyFont="1" applyFill="1" applyBorder="1" applyAlignment="1">
      <alignment horizontal="center" vertical="center" wrapText="1"/>
    </xf>
    <xf numFmtId="0" fontId="43" fillId="5" borderId="108" xfId="0" applyFont="1" applyFill="1" applyBorder="1" applyAlignment="1">
      <alignment horizontal="center" vertical="center" wrapText="1"/>
    </xf>
    <xf numFmtId="0" fontId="43" fillId="5" borderId="109" xfId="0" applyFont="1" applyFill="1" applyBorder="1" applyAlignment="1">
      <alignment horizontal="center" vertical="center" wrapText="1"/>
    </xf>
    <xf numFmtId="0" fontId="43" fillId="5" borderId="107" xfId="0" applyFont="1" applyFill="1" applyBorder="1" applyAlignment="1">
      <alignment horizontal="center" vertical="center"/>
    </xf>
    <xf numFmtId="0" fontId="43" fillId="5" borderId="108" xfId="0" applyFont="1" applyFill="1" applyBorder="1" applyAlignment="1">
      <alignment horizontal="center" vertical="center"/>
    </xf>
    <xf numFmtId="0" fontId="43" fillId="5" borderId="109" xfId="0" applyFont="1" applyFill="1" applyBorder="1" applyAlignment="1">
      <alignment horizontal="center" vertical="center"/>
    </xf>
    <xf numFmtId="0" fontId="44" fillId="0" borderId="108" xfId="0" applyFont="1" applyBorder="1" applyAlignment="1">
      <alignment horizontal="center" vertical="center"/>
    </xf>
    <xf numFmtId="0" fontId="44" fillId="0" borderId="110" xfId="0" applyFont="1" applyBorder="1" applyAlignment="1">
      <alignment horizontal="center" vertical="center"/>
    </xf>
    <xf numFmtId="0" fontId="43" fillId="5" borderId="111" xfId="0" applyFont="1" applyFill="1" applyBorder="1" applyAlignment="1">
      <alignment horizontal="center" textRotation="90"/>
    </xf>
    <xf numFmtId="0" fontId="43" fillId="5" borderId="112" xfId="0" applyFont="1" applyFill="1" applyBorder="1" applyAlignment="1">
      <alignment horizontal="center" textRotation="90"/>
    </xf>
    <xf numFmtId="3" fontId="43" fillId="5" borderId="112" xfId="0" applyNumberFormat="1" applyFont="1" applyFill="1" applyBorder="1" applyAlignment="1">
      <alignment horizontal="center" textRotation="90"/>
    </xf>
    <xf numFmtId="0" fontId="43" fillId="5" borderId="113" xfId="0" applyFont="1" applyFill="1" applyBorder="1" applyAlignment="1">
      <alignment horizontal="center" textRotation="90"/>
    </xf>
    <xf numFmtId="0" fontId="43" fillId="5" borderId="114" xfId="0" applyFont="1" applyFill="1" applyBorder="1" applyAlignment="1">
      <alignment horizontal="center" vertical="center"/>
    </xf>
    <xf numFmtId="0" fontId="43" fillId="5" borderId="115" xfId="0" applyFont="1" applyFill="1" applyBorder="1" applyAlignment="1">
      <alignment horizontal="center" vertical="center"/>
    </xf>
    <xf numFmtId="0" fontId="43" fillId="5" borderId="116" xfId="0" applyFont="1" applyFill="1" applyBorder="1" applyAlignment="1">
      <alignment horizontal="center" vertical="center"/>
    </xf>
    <xf numFmtId="0" fontId="43" fillId="5" borderId="117" xfId="0" applyFont="1" applyFill="1" applyBorder="1" applyAlignment="1">
      <alignment horizontal="center" vertical="center"/>
    </xf>
    <xf numFmtId="0" fontId="43" fillId="5" borderId="118" xfId="0" applyFont="1" applyFill="1" applyBorder="1" applyAlignment="1">
      <alignment horizontal="center" vertical="center"/>
    </xf>
    <xf numFmtId="0" fontId="44" fillId="5" borderId="100" xfId="0" applyFont="1" applyFill="1" applyBorder="1" applyAlignment="1">
      <alignment horizontal="center" vertical="center"/>
    </xf>
    <xf numFmtId="0" fontId="44" fillId="5" borderId="98" xfId="0" applyFont="1" applyFill="1" applyBorder="1" applyAlignment="1">
      <alignment horizontal="center" vertical="center"/>
    </xf>
    <xf numFmtId="0" fontId="44" fillId="5" borderId="99" xfId="0" applyFont="1" applyFill="1" applyBorder="1" applyAlignment="1">
      <alignment horizontal="center" vertical="center"/>
    </xf>
    <xf numFmtId="0" fontId="44" fillId="0" borderId="101" xfId="0" applyFont="1" applyBorder="1" applyAlignment="1">
      <alignment horizontal="center" vertical="center"/>
    </xf>
    <xf numFmtId="0" fontId="44" fillId="5" borderId="102" xfId="0" applyFont="1" applyFill="1" applyBorder="1" applyAlignment="1">
      <alignment horizontal="center" vertical="center"/>
    </xf>
    <xf numFmtId="0" fontId="44" fillId="5" borderId="101" xfId="0" applyFont="1" applyFill="1" applyBorder="1" applyAlignment="1">
      <alignment horizontal="center" vertical="center"/>
    </xf>
    <xf numFmtId="0" fontId="44" fillId="0" borderId="98" xfId="0" applyFont="1" applyBorder="1" applyAlignment="1">
      <alignment horizontal="center" vertical="center"/>
    </xf>
    <xf numFmtId="0" fontId="44" fillId="0" borderId="103" xfId="0" applyFont="1" applyBorder="1" applyAlignment="1">
      <alignment horizontal="center" vertical="center"/>
    </xf>
    <xf numFmtId="0" fontId="32" fillId="0" borderId="0" xfId="0" applyFont="1" applyAlignment="1">
      <alignment horizontal="left" vertical="center" wrapText="1"/>
    </xf>
    <xf numFmtId="0" fontId="32" fillId="42" borderId="0" xfId="0" applyFont="1" applyFill="1" applyAlignment="1">
      <alignment horizontal="center" vertical="center" wrapText="1"/>
    </xf>
    <xf numFmtId="0" fontId="25" fillId="0" borderId="20" xfId="0" applyFont="1" applyBorder="1" applyAlignment="1">
      <alignment vertical="center" wrapText="1"/>
    </xf>
    <xf numFmtId="0" fontId="25" fillId="0" borderId="0" xfId="0" applyFont="1" applyBorder="1" applyAlignment="1">
      <alignment vertical="center" wrapText="1"/>
    </xf>
    <xf numFmtId="0" fontId="25" fillId="0" borderId="22" xfId="0" applyFont="1" applyBorder="1" applyAlignment="1">
      <alignment vertical="center" wrapText="1"/>
    </xf>
    <xf numFmtId="0" fontId="27" fillId="0" borderId="20" xfId="0" applyFont="1" applyBorder="1" applyAlignment="1">
      <alignment vertical="center" wrapText="1"/>
    </xf>
    <xf numFmtId="0" fontId="27" fillId="0" borderId="0" xfId="0" applyFont="1" applyAlignment="1">
      <alignment vertical="center" wrapText="1"/>
    </xf>
    <xf numFmtId="0" fontId="27" fillId="0" borderId="22" xfId="0" applyFont="1" applyBorder="1" applyAlignment="1">
      <alignment vertical="center" wrapText="1"/>
    </xf>
    <xf numFmtId="0" fontId="27" fillId="0" borderId="0" xfId="0" applyFont="1" applyBorder="1" applyAlignment="1">
      <alignment vertical="center" wrapText="1"/>
    </xf>
  </cellXfs>
  <cellStyles count="87">
    <cellStyle name="20% - Accent1" xfId="21" builtinId="30" customBuiltin="1"/>
    <cellStyle name="20% - Accent1 2" xfId="53" xr:uid="{00000000-0005-0000-0000-00002F000000}"/>
    <cellStyle name="20% - Accent1 3" xfId="66" xr:uid="{00000000-0005-0000-0000-000043000000}"/>
    <cellStyle name="20% - Accent2" xfId="25" builtinId="34" customBuiltin="1"/>
    <cellStyle name="20% - Accent2 2" xfId="55" xr:uid="{00000000-0005-0000-0000-000030000000}"/>
    <cellStyle name="20% - Accent2 3" xfId="69" xr:uid="{00000000-0005-0000-0000-000044000000}"/>
    <cellStyle name="20% - Accent3" xfId="29" builtinId="38" customBuiltin="1"/>
    <cellStyle name="20% - Accent3 2" xfId="57" xr:uid="{00000000-0005-0000-0000-000031000000}"/>
    <cellStyle name="20% - Accent3 3" xfId="72" xr:uid="{00000000-0005-0000-0000-000045000000}"/>
    <cellStyle name="20% - Accent4" xfId="33" builtinId="42" customBuiltin="1"/>
    <cellStyle name="20% - Accent4 2" xfId="59" xr:uid="{00000000-0005-0000-0000-000032000000}"/>
    <cellStyle name="20% - Accent4 3" xfId="75" xr:uid="{00000000-0005-0000-0000-000046000000}"/>
    <cellStyle name="20% - Accent5" xfId="37" builtinId="46" customBuiltin="1"/>
    <cellStyle name="20% - Accent5 2" xfId="61" xr:uid="{00000000-0005-0000-0000-000033000000}"/>
    <cellStyle name="20% - Accent5 3" xfId="78" xr:uid="{00000000-0005-0000-0000-000047000000}"/>
    <cellStyle name="20% - Accent6" xfId="41" builtinId="50" customBuiltin="1"/>
    <cellStyle name="20% - Accent6 2" xfId="63" xr:uid="{00000000-0005-0000-0000-000034000000}"/>
    <cellStyle name="20% - Accent6 3" xfId="81" xr:uid="{00000000-0005-0000-0000-000048000000}"/>
    <cellStyle name="40% - Accent1" xfId="22" builtinId="31" customBuiltin="1"/>
    <cellStyle name="40% - Accent1 2" xfId="54" xr:uid="{00000000-0005-0000-0000-000035000000}"/>
    <cellStyle name="40% - Accent1 3" xfId="67" xr:uid="{00000000-0005-0000-0000-000049000000}"/>
    <cellStyle name="40% - Accent2" xfId="26" builtinId="35" customBuiltin="1"/>
    <cellStyle name="40% - Accent2 2" xfId="56" xr:uid="{00000000-0005-0000-0000-000036000000}"/>
    <cellStyle name="40% - Accent2 3" xfId="70" xr:uid="{00000000-0005-0000-0000-00004A000000}"/>
    <cellStyle name="40% - Accent3" xfId="30" builtinId="39" customBuiltin="1"/>
    <cellStyle name="40% - Accent3 2" xfId="58" xr:uid="{00000000-0005-0000-0000-000037000000}"/>
    <cellStyle name="40% - Accent3 3" xfId="73" xr:uid="{00000000-0005-0000-0000-00004B000000}"/>
    <cellStyle name="40% - Accent4" xfId="34" builtinId="43" customBuiltin="1"/>
    <cellStyle name="40% - Accent4 2" xfId="60" xr:uid="{00000000-0005-0000-0000-000038000000}"/>
    <cellStyle name="40% - Accent4 3" xfId="76" xr:uid="{00000000-0005-0000-0000-00004C000000}"/>
    <cellStyle name="40% - Accent5" xfId="38" builtinId="47" customBuiltin="1"/>
    <cellStyle name="40% - Accent5 2" xfId="62" xr:uid="{00000000-0005-0000-0000-000039000000}"/>
    <cellStyle name="40% - Accent5 3" xfId="79" xr:uid="{00000000-0005-0000-0000-00004D000000}"/>
    <cellStyle name="40% - Accent6" xfId="42" builtinId="51" customBuiltin="1"/>
    <cellStyle name="40% - Accent6 2" xfId="64" xr:uid="{00000000-0005-0000-0000-00003A000000}"/>
    <cellStyle name="40% - Accent6 3" xfId="82" xr:uid="{00000000-0005-0000-0000-00004E000000}"/>
    <cellStyle name="60% - Accent1" xfId="23" builtinId="32" customBuiltin="1"/>
    <cellStyle name="60% - Accent1 2" xfId="46" xr:uid="{00000000-0005-0000-0000-000033000000}"/>
    <cellStyle name="60% - Accent1 3" xfId="68" xr:uid="{00000000-0005-0000-0000-00004F000000}"/>
    <cellStyle name="60% - Accent2" xfId="27" builtinId="36" customBuiltin="1"/>
    <cellStyle name="60% - Accent2 2" xfId="47" xr:uid="{00000000-0005-0000-0000-000034000000}"/>
    <cellStyle name="60% - Accent2 3" xfId="71" xr:uid="{00000000-0005-0000-0000-000050000000}"/>
    <cellStyle name="60% - Accent3" xfId="31" builtinId="40" customBuiltin="1"/>
    <cellStyle name="60% - Accent3 2" xfId="48" xr:uid="{00000000-0005-0000-0000-000035000000}"/>
    <cellStyle name="60% - Accent3 3" xfId="74" xr:uid="{00000000-0005-0000-0000-000051000000}"/>
    <cellStyle name="60% - Accent4" xfId="35" builtinId="44" customBuiltin="1"/>
    <cellStyle name="60% - Accent4 2" xfId="49" xr:uid="{00000000-0005-0000-0000-000036000000}"/>
    <cellStyle name="60% - Accent4 3" xfId="77" xr:uid="{00000000-0005-0000-0000-000052000000}"/>
    <cellStyle name="60% - Accent5" xfId="39" builtinId="48" customBuiltin="1"/>
    <cellStyle name="60% - Accent5 2" xfId="50" xr:uid="{00000000-0005-0000-0000-000037000000}"/>
    <cellStyle name="60% - Accent5 3" xfId="80" xr:uid="{00000000-0005-0000-0000-000053000000}"/>
    <cellStyle name="60% - Accent6" xfId="43" builtinId="52" customBuiltin="1"/>
    <cellStyle name="60% - Accent6 2" xfId="51" xr:uid="{00000000-0005-0000-0000-000038000000}"/>
    <cellStyle name="60% - Accent6 3" xfId="83" xr:uid="{00000000-0005-0000-0000-000054000000}"/>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eutral 2" xfId="45" xr:uid="{00000000-0005-0000-0000-000039000000}"/>
    <cellStyle name="Normal" xfId="0" builtinId="0"/>
    <cellStyle name="Normal 2" xfId="1" xr:uid="{00000000-0005-0000-0000-000026000000}"/>
    <cellStyle name="Normal 3" xfId="44" xr:uid="{00000000-0005-0000-0000-000027000000}"/>
    <cellStyle name="Normal 4" xfId="84" xr:uid="{00000000-0005-0000-0000-00005A000000}"/>
    <cellStyle name="Normal 5" xfId="85" xr:uid="{00000000-0005-0000-0000-00005B000000}"/>
    <cellStyle name="Note" xfId="17" builtinId="10" customBuiltin="1"/>
    <cellStyle name="Note 2" xfId="52" xr:uid="{00000000-0005-0000-0000-000042000000}"/>
    <cellStyle name="Note 3" xfId="65" xr:uid="{00000000-0005-0000-0000-000055000000}"/>
    <cellStyle name="Output" xfId="12" builtinId="21" customBuiltin="1"/>
    <cellStyle name="Style0" xfId="86" xr:uid="{8CF821A6-5443-4048-A455-FF0078CC7239}"/>
    <cellStyle name="Title" xfId="3" builtinId="15" customBuiltin="1"/>
    <cellStyle name="Total" xfId="19" builtinId="25" customBuiltin="1"/>
    <cellStyle name="Warning Text" xfId="16" builtinId="11" customBuiltin="1"/>
  </cellStyles>
  <dxfs count="252">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fill>
        <patternFill>
          <bgColor rgb="FFFFFF00"/>
        </patternFill>
      </fill>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169" formatCode="mm/dd/yyyy\ hh:mm"/>
      <alignment horizontal="center" vertical="bottom" textRotation="0" wrapText="0" indent="0" justifyLastLine="0" shrinkToFit="0" readingOrder="0"/>
      <border diagonalUp="0" diagonalDown="0" outline="0">
        <left/>
        <right/>
        <top style="thin">
          <color theme="1"/>
        </top>
        <bottom/>
      </border>
    </dxf>
    <dxf>
      <alignment horizontal="center" vertical="center" textRotation="0" wrapText="0" indent="0" justifyLastLine="0" shrinkToFit="0" readingOrder="0"/>
    </dxf>
    <dxf>
      <alignment horizontal="center"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top style="thin">
          <color theme="1"/>
        </top>
        <bottom/>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center" textRotation="0" wrapText="1" indent="0" justifyLastLine="0" shrinkToFit="0" readingOrder="0"/>
    </dxf>
    <dxf>
      <font>
        <b/>
        <i val="0"/>
        <strike val="0"/>
        <color auto="1"/>
      </font>
      <fill>
        <patternFill patternType="none">
          <bgColor auto="1"/>
        </patternFill>
      </fill>
    </dxf>
    <dxf>
      <font>
        <b/>
        <i val="0"/>
        <strike val="0"/>
      </font>
    </dxf>
    <dxf>
      <font>
        <b/>
        <i val="0"/>
      </font>
    </dxf>
    <dxf>
      <font>
        <b/>
        <i val="0"/>
        <strike val="0"/>
      </font>
    </dxf>
    <dxf>
      <font>
        <b/>
        <i val="0"/>
      </font>
    </dxf>
    <dxf>
      <font>
        <b/>
        <i val="0"/>
        <strike val="0"/>
      </font>
    </dxf>
    <dxf>
      <font>
        <b/>
        <i val="0"/>
      </font>
    </dxf>
    <dxf>
      <font>
        <b/>
        <i val="0"/>
        <strike val="0"/>
      </font>
    </dxf>
    <dxf>
      <font>
        <b/>
        <i val="0"/>
      </font>
    </dxf>
    <dxf>
      <font>
        <b/>
        <i val="0"/>
        <strike val="0"/>
      </font>
    </dxf>
    <dxf>
      <font>
        <b/>
        <i val="0"/>
        <strike val="0"/>
      </font>
    </dxf>
    <dxf>
      <font>
        <b/>
        <i val="0"/>
        <strike val="0"/>
      </font>
    </dxf>
    <dxf>
      <font>
        <b/>
        <i val="0"/>
        <strike val="0"/>
      </font>
    </dxf>
    <dxf>
      <font>
        <b/>
        <i val="0"/>
        <strike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bgColor theme="0"/>
        </patternFill>
      </fill>
    </dxf>
    <dxf>
      <font>
        <b/>
        <i val="0"/>
        <strike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bgColor theme="0"/>
        </patternFill>
      </fill>
    </dxf>
    <dxf>
      <font>
        <b/>
        <i val="0"/>
        <strike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bgColor theme="0"/>
        </patternFill>
      </fill>
    </dxf>
    <dxf>
      <font>
        <b/>
        <i val="0"/>
        <strike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bgColor theme="0"/>
        </patternFill>
      </fill>
    </dxf>
    <dxf>
      <font>
        <b/>
        <i val="0"/>
        <strike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font>
    </dxf>
    <dxf>
      <font>
        <b/>
        <i val="0"/>
      </font>
    </dxf>
    <dxf>
      <font>
        <b/>
        <i val="0"/>
      </font>
    </dxf>
    <dxf>
      <font>
        <b/>
        <i val="0"/>
        <strike val="0"/>
        <color auto="1"/>
      </font>
      <fill>
        <patternFill patternType="none">
          <bgColor auto="1"/>
        </patternFill>
      </fill>
    </dxf>
    <dxf>
      <font>
        <b/>
        <i val="0"/>
        <strike val="0"/>
        <color auto="1"/>
      </font>
      <fill>
        <patternFill patternType="none">
          <bgColor auto="1"/>
        </patternFill>
      </fill>
    </dxf>
    <dxf>
      <font>
        <b/>
        <i val="0"/>
        <strike val="0"/>
        <color auto="1"/>
      </font>
      <fill>
        <patternFill patternType="none">
          <bgColor auto="1"/>
        </patternFill>
      </fill>
    </dxf>
    <dxf>
      <font>
        <b/>
        <i val="0"/>
        <strike val="0"/>
      </font>
    </dxf>
    <dxf>
      <font>
        <b/>
        <i val="0"/>
        <strike val="0"/>
      </font>
    </dxf>
    <dxf>
      <font>
        <b/>
        <i val="0"/>
        <strike val="0"/>
        <color auto="1"/>
      </font>
      <fill>
        <patternFill patternType="none">
          <bgColor auto="1"/>
        </patternFill>
      </fill>
    </dxf>
    <dxf>
      <font>
        <b/>
        <i val="0"/>
        <strike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bgColor theme="0"/>
        </patternFill>
      </fill>
    </dxf>
    <dxf>
      <font>
        <b/>
        <i val="0"/>
        <strike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font>
    </dxf>
    <dxf>
      <font>
        <b/>
        <i val="0"/>
      </font>
    </dxf>
    <dxf>
      <font>
        <b/>
        <i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patternType="none">
          <bgColor auto="1"/>
        </patternFill>
      </fill>
    </dxf>
    <dxf>
      <font>
        <b/>
        <i val="0"/>
        <strike val="0"/>
        <color auto="1"/>
      </font>
      <fill>
        <patternFill patternType="none">
          <bgColor auto="1"/>
        </patternFill>
      </fill>
    </dxf>
    <dxf>
      <font>
        <b/>
        <i val="0"/>
        <strike val="0"/>
        <color auto="1"/>
      </font>
      <fill>
        <patternFill patternType="none">
          <bgColor auto="1"/>
        </patternFill>
      </fill>
    </dxf>
    <dxf>
      <font>
        <b/>
        <i val="0"/>
        <strike val="0"/>
        <color auto="1"/>
      </font>
      <fill>
        <patternFill>
          <bgColor theme="0"/>
        </patternFill>
      </fill>
    </dxf>
    <dxf>
      <font>
        <b/>
        <i val="0"/>
        <strike val="0"/>
        <color theme="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strike val="0"/>
      </font>
    </dxf>
    <dxf>
      <font>
        <b/>
        <i val="0"/>
        <strike val="0"/>
        <color auto="1"/>
      </font>
      <fill>
        <patternFill patternType="none">
          <bgColor auto="1"/>
        </patternFill>
      </fill>
    </dxf>
    <dxf>
      <font>
        <b/>
        <i val="0"/>
        <strike val="0"/>
        <color auto="1"/>
      </font>
      <fill>
        <patternFill>
          <bgColor theme="0"/>
        </patternFill>
      </fill>
    </dxf>
    <dxf>
      <font>
        <b/>
        <i val="0"/>
        <strike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bgColor theme="0"/>
        </patternFill>
      </fill>
    </dxf>
    <dxf>
      <font>
        <b/>
        <i val="0"/>
        <strike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font>
    </dxf>
    <dxf>
      <font>
        <b/>
        <i val="0"/>
      </font>
    </dxf>
    <dxf>
      <font>
        <b/>
        <i val="0"/>
      </font>
    </dxf>
    <dxf>
      <font>
        <b/>
        <i val="0"/>
      </font>
    </dxf>
    <dxf>
      <font>
        <b/>
        <i val="0"/>
      </font>
    </dxf>
    <dxf>
      <font>
        <b/>
        <i val="0"/>
        <strike val="0"/>
        <color auto="1"/>
      </font>
      <fill>
        <patternFill patternType="none">
          <bgColor auto="1"/>
        </patternFill>
      </fill>
    </dxf>
    <dxf>
      <font>
        <b/>
        <i val="0"/>
        <strike val="0"/>
      </font>
    </dxf>
    <dxf>
      <font>
        <b/>
        <i val="0"/>
        <strike val="0"/>
        <color auto="1"/>
      </font>
      <fill>
        <patternFill patternType="none">
          <bgColor auto="1"/>
        </patternFill>
      </fill>
    </dxf>
    <dxf>
      <font>
        <b/>
        <i val="0"/>
        <strike val="0"/>
        <color auto="1"/>
      </font>
      <fill>
        <patternFill patternType="none">
          <bgColor auto="1"/>
        </patternFill>
      </fill>
    </dxf>
    <dxf>
      <font>
        <b/>
        <i val="0"/>
        <strike val="0"/>
        <color auto="1"/>
      </font>
      <fill>
        <patternFill patternType="none">
          <bgColor auto="1"/>
        </patternFill>
      </fill>
    </dxf>
    <dxf>
      <font>
        <b/>
        <i val="0"/>
        <strike val="0"/>
        <color auto="1"/>
      </font>
      <fill>
        <patternFill patternType="none">
          <bgColor auto="1"/>
        </patternFill>
      </fill>
    </dxf>
    <dxf>
      <font>
        <b/>
        <i val="0"/>
        <strike val="0"/>
        <color auto="1"/>
      </font>
      <fill>
        <patternFill>
          <bgColor theme="0"/>
        </patternFill>
      </fill>
    </dxf>
    <dxf>
      <font>
        <b/>
        <i val="0"/>
        <strike val="0"/>
        <color theme="1"/>
      </font>
      <fill>
        <patternFill patternType="none">
          <bgColor auto="1"/>
        </patternFill>
      </fill>
    </dxf>
    <dxf>
      <font>
        <b/>
        <i val="0"/>
        <strike val="0"/>
      </font>
    </dxf>
    <dxf>
      <font>
        <b/>
        <i val="0"/>
        <strike val="0"/>
        <color auto="1"/>
      </font>
      <fill>
        <patternFill patternType="none">
          <bgColor auto="1"/>
        </patternFill>
      </fill>
    </dxf>
    <dxf>
      <font>
        <b/>
        <i val="0"/>
        <strike val="0"/>
      </font>
    </dxf>
    <dxf>
      <font>
        <b/>
        <i val="0"/>
        <strike val="0"/>
      </font>
    </dxf>
    <dxf>
      <font>
        <b/>
        <i val="0"/>
        <strike val="0"/>
        <color auto="1"/>
      </font>
      <fill>
        <patternFill patternType="none">
          <bgColor auto="1"/>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0</xdr:colOff>
      <xdr:row>25</xdr:row>
      <xdr:rowOff>190500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086100" y="1066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24</xdr:row>
      <xdr:rowOff>190500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638550" y="979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25</xdr:row>
      <xdr:rowOff>190500</xdr:rowOff>
    </xdr:from>
    <xdr:ext cx="184731" cy="264560"/>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638550" y="979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24</xdr:row>
      <xdr:rowOff>190500</xdr:rowOff>
    </xdr:from>
    <xdr:ext cx="184731" cy="264560"/>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3750469" y="586978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19</xdr:row>
      <xdr:rowOff>190500</xdr:rowOff>
    </xdr:from>
    <xdr:ext cx="184731" cy="264560"/>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3171825" y="5705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24</xdr:row>
      <xdr:rowOff>190500</xdr:rowOff>
    </xdr:from>
    <xdr:ext cx="184731" cy="264560"/>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3171825" y="592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34</xdr:row>
      <xdr:rowOff>190500</xdr:rowOff>
    </xdr:from>
    <xdr:ext cx="184731" cy="264560"/>
    <xdr:sp macro="" textlink="">
      <xdr:nvSpPr>
        <xdr:cNvPr id="8" name="TextBox 7">
          <a:extLst>
            <a:ext uri="{FF2B5EF4-FFF2-40B4-BE49-F238E27FC236}">
              <a16:creationId xmlns:a16="http://schemas.microsoft.com/office/drawing/2014/main" id="{D9AD130A-0955-4F08-B8F1-0C077177D169}"/>
            </a:ext>
          </a:extLst>
        </xdr:cNvPr>
        <xdr:cNvSpPr txBox="1"/>
      </xdr:nvSpPr>
      <xdr:spPr>
        <a:xfrm>
          <a:off x="3329668" y="6463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28</xdr:row>
      <xdr:rowOff>190500</xdr:rowOff>
    </xdr:from>
    <xdr:ext cx="184731" cy="264560"/>
    <xdr:sp macro="" textlink="">
      <xdr:nvSpPr>
        <xdr:cNvPr id="9" name="TextBox 8">
          <a:extLst>
            <a:ext uri="{FF2B5EF4-FFF2-40B4-BE49-F238E27FC236}">
              <a16:creationId xmlns:a16="http://schemas.microsoft.com/office/drawing/2014/main" id="{C6C24B98-8FD1-40E4-8580-FF683D7B505D}"/>
            </a:ext>
          </a:extLst>
        </xdr:cNvPr>
        <xdr:cNvSpPr txBox="1"/>
      </xdr:nvSpPr>
      <xdr:spPr>
        <a:xfrm>
          <a:off x="3329668" y="6463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29</xdr:row>
      <xdr:rowOff>190500</xdr:rowOff>
    </xdr:from>
    <xdr:ext cx="184731" cy="264560"/>
    <xdr:sp macro="" textlink="">
      <xdr:nvSpPr>
        <xdr:cNvPr id="10" name="TextBox 9">
          <a:extLst>
            <a:ext uri="{FF2B5EF4-FFF2-40B4-BE49-F238E27FC236}">
              <a16:creationId xmlns:a16="http://schemas.microsoft.com/office/drawing/2014/main" id="{4DC4E286-D731-434C-A458-D6FF878E7EAE}"/>
            </a:ext>
          </a:extLst>
        </xdr:cNvPr>
        <xdr:cNvSpPr txBox="1"/>
      </xdr:nvSpPr>
      <xdr:spPr>
        <a:xfrm>
          <a:off x="3329668" y="6463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29</xdr:row>
      <xdr:rowOff>190500</xdr:rowOff>
    </xdr:from>
    <xdr:ext cx="184731" cy="264560"/>
    <xdr:sp macro="" textlink="">
      <xdr:nvSpPr>
        <xdr:cNvPr id="11" name="TextBox 10">
          <a:extLst>
            <a:ext uri="{FF2B5EF4-FFF2-40B4-BE49-F238E27FC236}">
              <a16:creationId xmlns:a16="http://schemas.microsoft.com/office/drawing/2014/main" id="{D947EAAC-8843-41B0-948A-CFBA7936741B}"/>
            </a:ext>
          </a:extLst>
        </xdr:cNvPr>
        <xdr:cNvSpPr txBox="1"/>
      </xdr:nvSpPr>
      <xdr:spPr>
        <a:xfrm>
          <a:off x="3329668" y="6463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57</xdr:row>
      <xdr:rowOff>190500</xdr:rowOff>
    </xdr:from>
    <xdr:ext cx="184731" cy="264560"/>
    <xdr:sp macro="" textlink="">
      <xdr:nvSpPr>
        <xdr:cNvPr id="12" name="TextBox 11">
          <a:extLst>
            <a:ext uri="{FF2B5EF4-FFF2-40B4-BE49-F238E27FC236}">
              <a16:creationId xmlns:a16="http://schemas.microsoft.com/office/drawing/2014/main" id="{3895B1D0-7C23-450B-835B-C8A3593EDD07}"/>
            </a:ext>
          </a:extLst>
        </xdr:cNvPr>
        <xdr:cNvSpPr txBox="1"/>
      </xdr:nvSpPr>
      <xdr:spPr>
        <a:xfrm>
          <a:off x="3329668" y="6463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58</xdr:row>
      <xdr:rowOff>190500</xdr:rowOff>
    </xdr:from>
    <xdr:ext cx="184731" cy="264560"/>
    <xdr:sp macro="" textlink="">
      <xdr:nvSpPr>
        <xdr:cNvPr id="13" name="TextBox 12">
          <a:extLst>
            <a:ext uri="{FF2B5EF4-FFF2-40B4-BE49-F238E27FC236}">
              <a16:creationId xmlns:a16="http://schemas.microsoft.com/office/drawing/2014/main" id="{780EA413-FFC2-42CE-B181-0247FD64DDC0}"/>
            </a:ext>
          </a:extLst>
        </xdr:cNvPr>
        <xdr:cNvSpPr txBox="1"/>
      </xdr:nvSpPr>
      <xdr:spPr>
        <a:xfrm>
          <a:off x="3329668" y="6463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50</xdr:row>
      <xdr:rowOff>190500</xdr:rowOff>
    </xdr:from>
    <xdr:ext cx="184731" cy="264560"/>
    <xdr:sp macro="" textlink="">
      <xdr:nvSpPr>
        <xdr:cNvPr id="14" name="TextBox 13">
          <a:extLst>
            <a:ext uri="{FF2B5EF4-FFF2-40B4-BE49-F238E27FC236}">
              <a16:creationId xmlns:a16="http://schemas.microsoft.com/office/drawing/2014/main" id="{BCDCE687-55DC-48CC-9F80-C64F469F735D}"/>
            </a:ext>
          </a:extLst>
        </xdr:cNvPr>
        <xdr:cNvSpPr txBox="1"/>
      </xdr:nvSpPr>
      <xdr:spPr>
        <a:xfrm>
          <a:off x="3329668" y="7769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51</xdr:row>
      <xdr:rowOff>190500</xdr:rowOff>
    </xdr:from>
    <xdr:ext cx="184731" cy="264560"/>
    <xdr:sp macro="" textlink="">
      <xdr:nvSpPr>
        <xdr:cNvPr id="15" name="TextBox 14">
          <a:extLst>
            <a:ext uri="{FF2B5EF4-FFF2-40B4-BE49-F238E27FC236}">
              <a16:creationId xmlns:a16="http://schemas.microsoft.com/office/drawing/2014/main" id="{73BEA29C-C74A-4939-82E5-B0D59AE256F8}"/>
            </a:ext>
          </a:extLst>
        </xdr:cNvPr>
        <xdr:cNvSpPr txBox="1"/>
      </xdr:nvSpPr>
      <xdr:spPr>
        <a:xfrm>
          <a:off x="3329668" y="7769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25</xdr:row>
      <xdr:rowOff>190500</xdr:rowOff>
    </xdr:from>
    <xdr:ext cx="184731" cy="264560"/>
    <xdr:sp macro="" textlink="">
      <xdr:nvSpPr>
        <xdr:cNvPr id="16" name="TextBox 15">
          <a:extLst>
            <a:ext uri="{FF2B5EF4-FFF2-40B4-BE49-F238E27FC236}">
              <a16:creationId xmlns:a16="http://schemas.microsoft.com/office/drawing/2014/main" id="{CDEF657C-7F31-4A3C-B69A-F486A1400356}"/>
            </a:ext>
          </a:extLst>
        </xdr:cNvPr>
        <xdr:cNvSpPr txBox="1"/>
      </xdr:nvSpPr>
      <xdr:spPr>
        <a:xfrm>
          <a:off x="3329668" y="6681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25</xdr:row>
      <xdr:rowOff>190500</xdr:rowOff>
    </xdr:from>
    <xdr:ext cx="184731" cy="264560"/>
    <xdr:sp macro="" textlink="">
      <xdr:nvSpPr>
        <xdr:cNvPr id="17" name="TextBox 16">
          <a:extLst>
            <a:ext uri="{FF2B5EF4-FFF2-40B4-BE49-F238E27FC236}">
              <a16:creationId xmlns:a16="http://schemas.microsoft.com/office/drawing/2014/main" id="{3F444DE3-FB80-4CA9-BAEF-167043851B7C}"/>
            </a:ext>
          </a:extLst>
        </xdr:cNvPr>
        <xdr:cNvSpPr txBox="1"/>
      </xdr:nvSpPr>
      <xdr:spPr>
        <a:xfrm>
          <a:off x="3329668" y="6681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33</xdr:row>
      <xdr:rowOff>190500</xdr:rowOff>
    </xdr:from>
    <xdr:ext cx="184731" cy="264560"/>
    <xdr:sp macro="" textlink="">
      <xdr:nvSpPr>
        <xdr:cNvPr id="18" name="TextBox 17">
          <a:extLst>
            <a:ext uri="{FF2B5EF4-FFF2-40B4-BE49-F238E27FC236}">
              <a16:creationId xmlns:a16="http://schemas.microsoft.com/office/drawing/2014/main" id="{51B1C59E-30BF-41B9-A243-091EEB0D2231}"/>
            </a:ext>
          </a:extLst>
        </xdr:cNvPr>
        <xdr:cNvSpPr txBox="1"/>
      </xdr:nvSpPr>
      <xdr:spPr>
        <a:xfrm>
          <a:off x="3329668" y="6681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33</xdr:row>
      <xdr:rowOff>190500</xdr:rowOff>
    </xdr:from>
    <xdr:ext cx="184731" cy="264560"/>
    <xdr:sp macro="" textlink="">
      <xdr:nvSpPr>
        <xdr:cNvPr id="19" name="TextBox 18">
          <a:extLst>
            <a:ext uri="{FF2B5EF4-FFF2-40B4-BE49-F238E27FC236}">
              <a16:creationId xmlns:a16="http://schemas.microsoft.com/office/drawing/2014/main" id="{FCFB2C92-4ED0-4D08-AF26-0697F78F6B11}"/>
            </a:ext>
          </a:extLst>
        </xdr:cNvPr>
        <xdr:cNvSpPr txBox="1"/>
      </xdr:nvSpPr>
      <xdr:spPr>
        <a:xfrm>
          <a:off x="3329668" y="6681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20</xdr:row>
      <xdr:rowOff>190500</xdr:rowOff>
    </xdr:from>
    <xdr:ext cx="184731" cy="264560"/>
    <xdr:sp macro="" textlink="">
      <xdr:nvSpPr>
        <xdr:cNvPr id="20" name="TextBox 19">
          <a:extLst>
            <a:ext uri="{FF2B5EF4-FFF2-40B4-BE49-F238E27FC236}">
              <a16:creationId xmlns:a16="http://schemas.microsoft.com/office/drawing/2014/main" id="{6129F83A-2757-478E-94DB-E7D166252664}"/>
            </a:ext>
          </a:extLst>
        </xdr:cNvPr>
        <xdr:cNvSpPr txBox="1"/>
      </xdr:nvSpPr>
      <xdr:spPr>
        <a:xfrm>
          <a:off x="3329668" y="994682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28</xdr:row>
      <xdr:rowOff>190500</xdr:rowOff>
    </xdr:from>
    <xdr:ext cx="184731" cy="264560"/>
    <xdr:sp macro="" textlink="">
      <xdr:nvSpPr>
        <xdr:cNvPr id="21" name="TextBox 20">
          <a:extLst>
            <a:ext uri="{FF2B5EF4-FFF2-40B4-BE49-F238E27FC236}">
              <a16:creationId xmlns:a16="http://schemas.microsoft.com/office/drawing/2014/main" id="{456AD7B4-FF81-41C3-8BBB-6E51E22FC701}"/>
            </a:ext>
          </a:extLst>
        </xdr:cNvPr>
        <xdr:cNvSpPr txBox="1"/>
      </xdr:nvSpPr>
      <xdr:spPr>
        <a:xfrm>
          <a:off x="3329668" y="7769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29</xdr:row>
      <xdr:rowOff>190500</xdr:rowOff>
    </xdr:from>
    <xdr:ext cx="184731" cy="264560"/>
    <xdr:sp macro="" textlink="">
      <xdr:nvSpPr>
        <xdr:cNvPr id="22" name="TextBox 21">
          <a:extLst>
            <a:ext uri="{FF2B5EF4-FFF2-40B4-BE49-F238E27FC236}">
              <a16:creationId xmlns:a16="http://schemas.microsoft.com/office/drawing/2014/main" id="{E6804FA4-6FA6-4A40-AE24-628461091960}"/>
            </a:ext>
          </a:extLst>
        </xdr:cNvPr>
        <xdr:cNvSpPr txBox="1"/>
      </xdr:nvSpPr>
      <xdr:spPr>
        <a:xfrm>
          <a:off x="3329668" y="7769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57</xdr:row>
      <xdr:rowOff>190500</xdr:rowOff>
    </xdr:from>
    <xdr:ext cx="184731" cy="264560"/>
    <xdr:sp macro="" textlink="">
      <xdr:nvSpPr>
        <xdr:cNvPr id="23" name="TextBox 22">
          <a:extLst>
            <a:ext uri="{FF2B5EF4-FFF2-40B4-BE49-F238E27FC236}">
              <a16:creationId xmlns:a16="http://schemas.microsoft.com/office/drawing/2014/main" id="{CD64402E-797D-495A-B12F-6EE0E1591F8E}"/>
            </a:ext>
          </a:extLst>
        </xdr:cNvPr>
        <xdr:cNvSpPr txBox="1"/>
      </xdr:nvSpPr>
      <xdr:spPr>
        <a:xfrm>
          <a:off x="3329668" y="7769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58</xdr:row>
      <xdr:rowOff>190500</xdr:rowOff>
    </xdr:from>
    <xdr:ext cx="184731" cy="264560"/>
    <xdr:sp macro="" textlink="">
      <xdr:nvSpPr>
        <xdr:cNvPr id="24" name="TextBox 23">
          <a:extLst>
            <a:ext uri="{FF2B5EF4-FFF2-40B4-BE49-F238E27FC236}">
              <a16:creationId xmlns:a16="http://schemas.microsoft.com/office/drawing/2014/main" id="{598EE489-466C-4CC8-87B7-B0380562AE8B}"/>
            </a:ext>
          </a:extLst>
        </xdr:cNvPr>
        <xdr:cNvSpPr txBox="1"/>
      </xdr:nvSpPr>
      <xdr:spPr>
        <a:xfrm>
          <a:off x="3329668" y="776967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51</xdr:row>
      <xdr:rowOff>190500</xdr:rowOff>
    </xdr:from>
    <xdr:ext cx="184731" cy="264560"/>
    <xdr:sp macro="" textlink="">
      <xdr:nvSpPr>
        <xdr:cNvPr id="25" name="TextBox 24">
          <a:extLst>
            <a:ext uri="{FF2B5EF4-FFF2-40B4-BE49-F238E27FC236}">
              <a16:creationId xmlns:a16="http://schemas.microsoft.com/office/drawing/2014/main" id="{3F623DF6-16EF-46EC-A750-9F71BBBFCD89}"/>
            </a:ext>
          </a:extLst>
        </xdr:cNvPr>
        <xdr:cNvSpPr txBox="1"/>
      </xdr:nvSpPr>
      <xdr:spPr>
        <a:xfrm>
          <a:off x="3329668" y="9729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20</xdr:row>
      <xdr:rowOff>190500</xdr:rowOff>
    </xdr:from>
    <xdr:ext cx="184731" cy="264560"/>
    <xdr:sp macro="" textlink="">
      <xdr:nvSpPr>
        <xdr:cNvPr id="26" name="TextBox 25">
          <a:extLst>
            <a:ext uri="{FF2B5EF4-FFF2-40B4-BE49-F238E27FC236}">
              <a16:creationId xmlns:a16="http://schemas.microsoft.com/office/drawing/2014/main" id="{812642B4-2EAA-4058-9520-E5601CA76CE7}"/>
            </a:ext>
          </a:extLst>
        </xdr:cNvPr>
        <xdr:cNvSpPr txBox="1"/>
      </xdr:nvSpPr>
      <xdr:spPr>
        <a:xfrm>
          <a:off x="3329668" y="972910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35</xdr:row>
      <xdr:rowOff>190500</xdr:rowOff>
    </xdr:from>
    <xdr:ext cx="184731" cy="264560"/>
    <xdr:sp macro="" textlink="">
      <xdr:nvSpPr>
        <xdr:cNvPr id="27" name="TextBox 26">
          <a:extLst>
            <a:ext uri="{FF2B5EF4-FFF2-40B4-BE49-F238E27FC236}">
              <a16:creationId xmlns:a16="http://schemas.microsoft.com/office/drawing/2014/main" id="{52CF9B74-280C-4E1C-A578-B792F58B06E6}"/>
            </a:ext>
          </a:extLst>
        </xdr:cNvPr>
        <xdr:cNvSpPr txBox="1"/>
      </xdr:nvSpPr>
      <xdr:spPr>
        <a:xfrm>
          <a:off x="7524750" y="1338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34</xdr:row>
      <xdr:rowOff>190500</xdr:rowOff>
    </xdr:from>
    <xdr:ext cx="184731" cy="264560"/>
    <xdr:sp macro="" textlink="">
      <xdr:nvSpPr>
        <xdr:cNvPr id="28" name="TextBox 27">
          <a:extLst>
            <a:ext uri="{FF2B5EF4-FFF2-40B4-BE49-F238E27FC236}">
              <a16:creationId xmlns:a16="http://schemas.microsoft.com/office/drawing/2014/main" id="{3A86881A-5CEE-42BA-B4C4-457620091050}"/>
            </a:ext>
          </a:extLst>
        </xdr:cNvPr>
        <xdr:cNvSpPr txBox="1"/>
      </xdr:nvSpPr>
      <xdr:spPr>
        <a:xfrm>
          <a:off x="7524750" y="13073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34</xdr:row>
      <xdr:rowOff>190500</xdr:rowOff>
    </xdr:from>
    <xdr:ext cx="184731" cy="264560"/>
    <xdr:sp macro="" textlink="">
      <xdr:nvSpPr>
        <xdr:cNvPr id="29" name="TextBox 28">
          <a:extLst>
            <a:ext uri="{FF2B5EF4-FFF2-40B4-BE49-F238E27FC236}">
              <a16:creationId xmlns:a16="http://schemas.microsoft.com/office/drawing/2014/main" id="{78DD30F2-9323-4C73-8F35-F02A31186C90}"/>
            </a:ext>
          </a:extLst>
        </xdr:cNvPr>
        <xdr:cNvSpPr txBox="1"/>
      </xdr:nvSpPr>
      <xdr:spPr>
        <a:xfrm>
          <a:off x="7524750" y="13073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0" name="TextBox 29">
          <a:extLst>
            <a:ext uri="{FF2B5EF4-FFF2-40B4-BE49-F238E27FC236}">
              <a16:creationId xmlns:a16="http://schemas.microsoft.com/office/drawing/2014/main" id="{434CF169-1703-421D-972F-8D9F491B873B}"/>
            </a:ext>
          </a:extLst>
        </xdr:cNvPr>
        <xdr:cNvSpPr txBox="1"/>
      </xdr:nvSpPr>
      <xdr:spPr>
        <a:xfrm>
          <a:off x="7524750" y="1338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35</xdr:row>
      <xdr:rowOff>190500</xdr:rowOff>
    </xdr:from>
    <xdr:ext cx="184731" cy="264560"/>
    <xdr:sp macro="" textlink="">
      <xdr:nvSpPr>
        <xdr:cNvPr id="31" name="TextBox 30">
          <a:extLst>
            <a:ext uri="{FF2B5EF4-FFF2-40B4-BE49-F238E27FC236}">
              <a16:creationId xmlns:a16="http://schemas.microsoft.com/office/drawing/2014/main" id="{326D80D7-8592-4E8C-937E-D998CC001FBD}"/>
            </a:ext>
          </a:extLst>
        </xdr:cNvPr>
        <xdr:cNvSpPr txBox="1"/>
      </xdr:nvSpPr>
      <xdr:spPr>
        <a:xfrm>
          <a:off x="7524750" y="13073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35</xdr:row>
      <xdr:rowOff>190500</xdr:rowOff>
    </xdr:from>
    <xdr:ext cx="184731" cy="264560"/>
    <xdr:sp macro="" textlink="">
      <xdr:nvSpPr>
        <xdr:cNvPr id="32" name="TextBox 31">
          <a:extLst>
            <a:ext uri="{FF2B5EF4-FFF2-40B4-BE49-F238E27FC236}">
              <a16:creationId xmlns:a16="http://schemas.microsoft.com/office/drawing/2014/main" id="{F7583ED6-2175-461B-BB4C-1CC475B9BDE7}"/>
            </a:ext>
          </a:extLst>
        </xdr:cNvPr>
        <xdr:cNvSpPr txBox="1"/>
      </xdr:nvSpPr>
      <xdr:spPr>
        <a:xfrm>
          <a:off x="7524750" y="13073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3" name="TextBox 32">
          <a:extLst>
            <a:ext uri="{FF2B5EF4-FFF2-40B4-BE49-F238E27FC236}">
              <a16:creationId xmlns:a16="http://schemas.microsoft.com/office/drawing/2014/main" id="{E0791422-4AB2-438E-8889-DC79738C8063}"/>
            </a:ext>
          </a:extLst>
        </xdr:cNvPr>
        <xdr:cNvSpPr txBox="1"/>
      </xdr:nvSpPr>
      <xdr:spPr>
        <a:xfrm>
          <a:off x="7524750" y="1338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4" name="TextBox 33">
          <a:extLst>
            <a:ext uri="{FF2B5EF4-FFF2-40B4-BE49-F238E27FC236}">
              <a16:creationId xmlns:a16="http://schemas.microsoft.com/office/drawing/2014/main" id="{F8249097-632C-4CDE-A5DD-325A755A1496}"/>
            </a:ext>
          </a:extLst>
        </xdr:cNvPr>
        <xdr:cNvSpPr txBox="1"/>
      </xdr:nvSpPr>
      <xdr:spPr>
        <a:xfrm>
          <a:off x="7524750" y="1338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37</xdr:row>
      <xdr:rowOff>190500</xdr:rowOff>
    </xdr:from>
    <xdr:ext cx="184731" cy="264560"/>
    <xdr:sp macro="" textlink="">
      <xdr:nvSpPr>
        <xdr:cNvPr id="35" name="TextBox 34">
          <a:extLst>
            <a:ext uri="{FF2B5EF4-FFF2-40B4-BE49-F238E27FC236}">
              <a16:creationId xmlns:a16="http://schemas.microsoft.com/office/drawing/2014/main" id="{5DCA9CC8-7C2A-43FF-BAD8-CA646FF73844}"/>
            </a:ext>
          </a:extLst>
        </xdr:cNvPr>
        <xdr:cNvSpPr txBox="1"/>
      </xdr:nvSpPr>
      <xdr:spPr>
        <a:xfrm>
          <a:off x="7524750" y="1338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6" name="TextBox 35">
          <a:extLst>
            <a:ext uri="{FF2B5EF4-FFF2-40B4-BE49-F238E27FC236}">
              <a16:creationId xmlns:a16="http://schemas.microsoft.com/office/drawing/2014/main" id="{3F55B654-E40C-45EA-867E-D395565A84CA}"/>
            </a:ext>
          </a:extLst>
        </xdr:cNvPr>
        <xdr:cNvSpPr txBox="1"/>
      </xdr:nvSpPr>
      <xdr:spPr>
        <a:xfrm>
          <a:off x="7524750" y="13073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7" name="TextBox 36">
          <a:extLst>
            <a:ext uri="{FF2B5EF4-FFF2-40B4-BE49-F238E27FC236}">
              <a16:creationId xmlns:a16="http://schemas.microsoft.com/office/drawing/2014/main" id="{88A064BC-AB46-4EC7-B308-F231064E0180}"/>
            </a:ext>
          </a:extLst>
        </xdr:cNvPr>
        <xdr:cNvSpPr txBox="1"/>
      </xdr:nvSpPr>
      <xdr:spPr>
        <a:xfrm>
          <a:off x="7524750" y="13073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37</xdr:row>
      <xdr:rowOff>190500</xdr:rowOff>
    </xdr:from>
    <xdr:ext cx="184731" cy="264560"/>
    <xdr:sp macro="" textlink="">
      <xdr:nvSpPr>
        <xdr:cNvPr id="38" name="TextBox 37">
          <a:extLst>
            <a:ext uri="{FF2B5EF4-FFF2-40B4-BE49-F238E27FC236}">
              <a16:creationId xmlns:a16="http://schemas.microsoft.com/office/drawing/2014/main" id="{7C71E6C7-A92D-426A-9EFE-ED437A802DEB}"/>
            </a:ext>
          </a:extLst>
        </xdr:cNvPr>
        <xdr:cNvSpPr txBox="1"/>
      </xdr:nvSpPr>
      <xdr:spPr>
        <a:xfrm>
          <a:off x="7524750" y="1338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37</xdr:row>
      <xdr:rowOff>190500</xdr:rowOff>
    </xdr:from>
    <xdr:ext cx="184731" cy="264560"/>
    <xdr:sp macro="" textlink="">
      <xdr:nvSpPr>
        <xdr:cNvPr id="39" name="TextBox 38">
          <a:extLst>
            <a:ext uri="{FF2B5EF4-FFF2-40B4-BE49-F238E27FC236}">
              <a16:creationId xmlns:a16="http://schemas.microsoft.com/office/drawing/2014/main" id="{331A9043-E36D-44F2-BEDC-E9BE3B1914D5}"/>
            </a:ext>
          </a:extLst>
        </xdr:cNvPr>
        <xdr:cNvSpPr txBox="1"/>
      </xdr:nvSpPr>
      <xdr:spPr>
        <a:xfrm>
          <a:off x="7524750" y="13382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30</xdr:row>
      <xdr:rowOff>190500</xdr:rowOff>
    </xdr:from>
    <xdr:ext cx="184731" cy="264560"/>
    <xdr:sp macro="" textlink="">
      <xdr:nvSpPr>
        <xdr:cNvPr id="40" name="TextBox 39">
          <a:extLst>
            <a:ext uri="{FF2B5EF4-FFF2-40B4-BE49-F238E27FC236}">
              <a16:creationId xmlns:a16="http://schemas.microsoft.com/office/drawing/2014/main" id="{1CA8A7DF-48CB-491C-B53D-8A6A1DAE108A}"/>
            </a:ext>
          </a:extLst>
        </xdr:cNvPr>
        <xdr:cNvSpPr txBox="1"/>
      </xdr:nvSpPr>
      <xdr:spPr>
        <a:xfrm>
          <a:off x="7524750" y="12453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30</xdr:row>
      <xdr:rowOff>190500</xdr:rowOff>
    </xdr:from>
    <xdr:ext cx="184731" cy="264560"/>
    <xdr:sp macro="" textlink="">
      <xdr:nvSpPr>
        <xdr:cNvPr id="41" name="TextBox 40">
          <a:extLst>
            <a:ext uri="{FF2B5EF4-FFF2-40B4-BE49-F238E27FC236}">
              <a16:creationId xmlns:a16="http://schemas.microsoft.com/office/drawing/2014/main" id="{F7117F14-85C0-4D30-BD4E-711EECE96C45}"/>
            </a:ext>
          </a:extLst>
        </xdr:cNvPr>
        <xdr:cNvSpPr txBox="1"/>
      </xdr:nvSpPr>
      <xdr:spPr>
        <a:xfrm>
          <a:off x="7524750" y="12453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30</xdr:row>
      <xdr:rowOff>190500</xdr:rowOff>
    </xdr:from>
    <xdr:ext cx="184731" cy="264560"/>
    <xdr:sp macro="" textlink="">
      <xdr:nvSpPr>
        <xdr:cNvPr id="42" name="TextBox 41">
          <a:extLst>
            <a:ext uri="{FF2B5EF4-FFF2-40B4-BE49-F238E27FC236}">
              <a16:creationId xmlns:a16="http://schemas.microsoft.com/office/drawing/2014/main" id="{266F5726-406A-45F2-A61C-3F07D84DA4EC}"/>
            </a:ext>
          </a:extLst>
        </xdr:cNvPr>
        <xdr:cNvSpPr txBox="1"/>
      </xdr:nvSpPr>
      <xdr:spPr>
        <a:xfrm>
          <a:off x="7524750" y="12453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31</xdr:row>
      <xdr:rowOff>190500</xdr:rowOff>
    </xdr:from>
    <xdr:ext cx="184731" cy="264560"/>
    <xdr:sp macro="" textlink="">
      <xdr:nvSpPr>
        <xdr:cNvPr id="43" name="TextBox 42">
          <a:extLst>
            <a:ext uri="{FF2B5EF4-FFF2-40B4-BE49-F238E27FC236}">
              <a16:creationId xmlns:a16="http://schemas.microsoft.com/office/drawing/2014/main" id="{98D258FE-840C-407D-AFF5-2E7EC5D2B495}"/>
            </a:ext>
          </a:extLst>
        </xdr:cNvPr>
        <xdr:cNvSpPr txBox="1"/>
      </xdr:nvSpPr>
      <xdr:spPr>
        <a:xfrm>
          <a:off x="7524750" y="12453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31</xdr:row>
      <xdr:rowOff>190500</xdr:rowOff>
    </xdr:from>
    <xdr:ext cx="184731" cy="264560"/>
    <xdr:sp macro="" textlink="">
      <xdr:nvSpPr>
        <xdr:cNvPr id="44" name="TextBox 43">
          <a:extLst>
            <a:ext uri="{FF2B5EF4-FFF2-40B4-BE49-F238E27FC236}">
              <a16:creationId xmlns:a16="http://schemas.microsoft.com/office/drawing/2014/main" id="{C69B8EA0-ADAA-4FB6-9278-E95BA77B89F4}"/>
            </a:ext>
          </a:extLst>
        </xdr:cNvPr>
        <xdr:cNvSpPr txBox="1"/>
      </xdr:nvSpPr>
      <xdr:spPr>
        <a:xfrm>
          <a:off x="7524750" y="12453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31</xdr:row>
      <xdr:rowOff>190500</xdr:rowOff>
    </xdr:from>
    <xdr:ext cx="184731" cy="264560"/>
    <xdr:sp macro="" textlink="">
      <xdr:nvSpPr>
        <xdr:cNvPr id="45" name="TextBox 44">
          <a:extLst>
            <a:ext uri="{FF2B5EF4-FFF2-40B4-BE49-F238E27FC236}">
              <a16:creationId xmlns:a16="http://schemas.microsoft.com/office/drawing/2014/main" id="{ADF1F9AA-04D2-4782-8F54-B13CB8D7C1F7}"/>
            </a:ext>
          </a:extLst>
        </xdr:cNvPr>
        <xdr:cNvSpPr txBox="1"/>
      </xdr:nvSpPr>
      <xdr:spPr>
        <a:xfrm>
          <a:off x="7524750" y="124539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32</xdr:row>
      <xdr:rowOff>190500</xdr:rowOff>
    </xdr:from>
    <xdr:ext cx="184731" cy="264560"/>
    <xdr:sp macro="" textlink="">
      <xdr:nvSpPr>
        <xdr:cNvPr id="46" name="TextBox 45">
          <a:extLst>
            <a:ext uri="{FF2B5EF4-FFF2-40B4-BE49-F238E27FC236}">
              <a16:creationId xmlns:a16="http://schemas.microsoft.com/office/drawing/2014/main" id="{2DCB501D-3B88-455F-B7C8-7D109BDD12CE}"/>
            </a:ext>
          </a:extLst>
        </xdr:cNvPr>
        <xdr:cNvSpPr txBox="1"/>
      </xdr:nvSpPr>
      <xdr:spPr>
        <a:xfrm>
          <a:off x="7524750" y="1276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32</xdr:row>
      <xdr:rowOff>190500</xdr:rowOff>
    </xdr:from>
    <xdr:ext cx="184731" cy="264560"/>
    <xdr:sp macro="" textlink="">
      <xdr:nvSpPr>
        <xdr:cNvPr id="47" name="TextBox 46">
          <a:extLst>
            <a:ext uri="{FF2B5EF4-FFF2-40B4-BE49-F238E27FC236}">
              <a16:creationId xmlns:a16="http://schemas.microsoft.com/office/drawing/2014/main" id="{2719C914-6377-40CC-9171-00F049F538E1}"/>
            </a:ext>
          </a:extLst>
        </xdr:cNvPr>
        <xdr:cNvSpPr txBox="1"/>
      </xdr:nvSpPr>
      <xdr:spPr>
        <a:xfrm>
          <a:off x="7524750" y="1276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32</xdr:row>
      <xdr:rowOff>190500</xdr:rowOff>
    </xdr:from>
    <xdr:ext cx="184731" cy="264560"/>
    <xdr:sp macro="" textlink="">
      <xdr:nvSpPr>
        <xdr:cNvPr id="48" name="TextBox 47">
          <a:extLst>
            <a:ext uri="{FF2B5EF4-FFF2-40B4-BE49-F238E27FC236}">
              <a16:creationId xmlns:a16="http://schemas.microsoft.com/office/drawing/2014/main" id="{D46C348B-8EF4-4CA7-89F9-F389CD28FDB1}"/>
            </a:ext>
          </a:extLst>
        </xdr:cNvPr>
        <xdr:cNvSpPr txBox="1"/>
      </xdr:nvSpPr>
      <xdr:spPr>
        <a:xfrm>
          <a:off x="7524750" y="12763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20</xdr:row>
      <xdr:rowOff>190500</xdr:rowOff>
    </xdr:from>
    <xdr:ext cx="184731" cy="264560"/>
    <xdr:sp macro="" textlink="">
      <xdr:nvSpPr>
        <xdr:cNvPr id="49" name="TextBox 48">
          <a:extLst>
            <a:ext uri="{FF2B5EF4-FFF2-40B4-BE49-F238E27FC236}">
              <a16:creationId xmlns:a16="http://schemas.microsoft.com/office/drawing/2014/main" id="{5C326C08-6B57-49CE-9D84-1CCC86AC6C83}"/>
            </a:ext>
          </a:extLst>
        </xdr:cNvPr>
        <xdr:cNvSpPr txBox="1"/>
      </xdr:nvSpPr>
      <xdr:spPr>
        <a:xfrm>
          <a:off x="5643563" y="85010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21</xdr:row>
      <xdr:rowOff>190500</xdr:rowOff>
    </xdr:from>
    <xdr:ext cx="184731" cy="264560"/>
    <xdr:sp macro="" textlink="">
      <xdr:nvSpPr>
        <xdr:cNvPr id="50" name="TextBox 49">
          <a:extLst>
            <a:ext uri="{FF2B5EF4-FFF2-40B4-BE49-F238E27FC236}">
              <a16:creationId xmlns:a16="http://schemas.microsoft.com/office/drawing/2014/main" id="{A6222F16-64DD-41F4-AC44-ED78FFBB3D99}"/>
            </a:ext>
          </a:extLst>
        </xdr:cNvPr>
        <xdr:cNvSpPr txBox="1"/>
      </xdr:nvSpPr>
      <xdr:spPr>
        <a:xfrm>
          <a:off x="5643563" y="8810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21</xdr:row>
      <xdr:rowOff>190500</xdr:rowOff>
    </xdr:from>
    <xdr:ext cx="184731" cy="264560"/>
    <xdr:sp macro="" textlink="">
      <xdr:nvSpPr>
        <xdr:cNvPr id="51" name="TextBox 50">
          <a:extLst>
            <a:ext uri="{FF2B5EF4-FFF2-40B4-BE49-F238E27FC236}">
              <a16:creationId xmlns:a16="http://schemas.microsoft.com/office/drawing/2014/main" id="{11CD58EB-CAD7-4E2B-AB32-07D5168AFB5E}"/>
            </a:ext>
          </a:extLst>
        </xdr:cNvPr>
        <xdr:cNvSpPr txBox="1"/>
      </xdr:nvSpPr>
      <xdr:spPr>
        <a:xfrm>
          <a:off x="5643563" y="8810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0</xdr:colOff>
      <xdr:row>25</xdr:row>
      <xdr:rowOff>190500</xdr:rowOff>
    </xdr:from>
    <xdr:ext cx="184731" cy="264560"/>
    <xdr:sp macro="" textlink="">
      <xdr:nvSpPr>
        <xdr:cNvPr id="2" name="TextBox 1">
          <a:extLst>
            <a:ext uri="{FF2B5EF4-FFF2-40B4-BE49-F238E27FC236}">
              <a16:creationId xmlns:a16="http://schemas.microsoft.com/office/drawing/2014/main" id="{2F8398FF-A79D-4912-9A22-2BCFC8E64135}"/>
            </a:ext>
          </a:extLst>
        </xdr:cNvPr>
        <xdr:cNvSpPr txBox="1"/>
      </xdr:nvSpPr>
      <xdr:spPr>
        <a:xfrm>
          <a:off x="10448925" y="1042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24</xdr:row>
      <xdr:rowOff>190500</xdr:rowOff>
    </xdr:from>
    <xdr:ext cx="184731" cy="264560"/>
    <xdr:sp macro="" textlink="">
      <xdr:nvSpPr>
        <xdr:cNvPr id="3" name="TextBox 2">
          <a:extLst>
            <a:ext uri="{FF2B5EF4-FFF2-40B4-BE49-F238E27FC236}">
              <a16:creationId xmlns:a16="http://schemas.microsoft.com/office/drawing/2014/main" id="{54A89935-4964-4022-8857-4EE76C49006C}"/>
            </a:ext>
          </a:extLst>
        </xdr:cNvPr>
        <xdr:cNvSpPr txBox="1"/>
      </xdr:nvSpPr>
      <xdr:spPr>
        <a:xfrm>
          <a:off x="5638800" y="10115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25</xdr:row>
      <xdr:rowOff>190500</xdr:rowOff>
    </xdr:from>
    <xdr:ext cx="184731" cy="264560"/>
    <xdr:sp macro="" textlink="">
      <xdr:nvSpPr>
        <xdr:cNvPr id="4" name="TextBox 3">
          <a:extLst>
            <a:ext uri="{FF2B5EF4-FFF2-40B4-BE49-F238E27FC236}">
              <a16:creationId xmlns:a16="http://schemas.microsoft.com/office/drawing/2014/main" id="{F41FE7A6-30CA-42FC-97DD-DCFDDF8A4F61}"/>
            </a:ext>
          </a:extLst>
        </xdr:cNvPr>
        <xdr:cNvSpPr txBox="1"/>
      </xdr:nvSpPr>
      <xdr:spPr>
        <a:xfrm>
          <a:off x="5638800" y="1042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24</xdr:row>
      <xdr:rowOff>190500</xdr:rowOff>
    </xdr:from>
    <xdr:ext cx="184731" cy="264560"/>
    <xdr:sp macro="" textlink="">
      <xdr:nvSpPr>
        <xdr:cNvPr id="5" name="TextBox 4">
          <a:extLst>
            <a:ext uri="{FF2B5EF4-FFF2-40B4-BE49-F238E27FC236}">
              <a16:creationId xmlns:a16="http://schemas.microsoft.com/office/drawing/2014/main" id="{7ADA5BE0-4DBB-46BF-A774-C2B58D309AD1}"/>
            </a:ext>
          </a:extLst>
        </xdr:cNvPr>
        <xdr:cNvSpPr txBox="1"/>
      </xdr:nvSpPr>
      <xdr:spPr>
        <a:xfrm>
          <a:off x="10448925" y="10115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19</xdr:row>
      <xdr:rowOff>190500</xdr:rowOff>
    </xdr:from>
    <xdr:ext cx="184731" cy="264560"/>
    <xdr:sp macro="" textlink="">
      <xdr:nvSpPr>
        <xdr:cNvPr id="6" name="TextBox 5">
          <a:extLst>
            <a:ext uri="{FF2B5EF4-FFF2-40B4-BE49-F238E27FC236}">
              <a16:creationId xmlns:a16="http://schemas.microsoft.com/office/drawing/2014/main" id="{5BB00D77-BDDF-48C2-BFBF-5F21DE8A19FB}"/>
            </a:ext>
          </a:extLst>
        </xdr:cNvPr>
        <xdr:cNvSpPr txBox="1"/>
      </xdr:nvSpPr>
      <xdr:spPr>
        <a:xfrm>
          <a:off x="5638800" y="85439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24</xdr:row>
      <xdr:rowOff>190500</xdr:rowOff>
    </xdr:from>
    <xdr:ext cx="184731" cy="264560"/>
    <xdr:sp macro="" textlink="">
      <xdr:nvSpPr>
        <xdr:cNvPr id="7" name="TextBox 6">
          <a:extLst>
            <a:ext uri="{FF2B5EF4-FFF2-40B4-BE49-F238E27FC236}">
              <a16:creationId xmlns:a16="http://schemas.microsoft.com/office/drawing/2014/main" id="{9E0DE371-0D74-424F-8FDA-F5B4BCCADD81}"/>
            </a:ext>
          </a:extLst>
        </xdr:cNvPr>
        <xdr:cNvSpPr txBox="1"/>
      </xdr:nvSpPr>
      <xdr:spPr>
        <a:xfrm>
          <a:off x="5638800" y="10115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34</xdr:row>
      <xdr:rowOff>190500</xdr:rowOff>
    </xdr:from>
    <xdr:ext cx="184731" cy="264560"/>
    <xdr:sp macro="" textlink="">
      <xdr:nvSpPr>
        <xdr:cNvPr id="8" name="TextBox 7">
          <a:extLst>
            <a:ext uri="{FF2B5EF4-FFF2-40B4-BE49-F238E27FC236}">
              <a16:creationId xmlns:a16="http://schemas.microsoft.com/office/drawing/2014/main" id="{19360D8F-4E16-4C1B-8DB4-A20785060E66}"/>
            </a:ext>
          </a:extLst>
        </xdr:cNvPr>
        <xdr:cNvSpPr txBox="1"/>
      </xdr:nvSpPr>
      <xdr:spPr>
        <a:xfrm>
          <a:off x="5638800" y="1325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28</xdr:row>
      <xdr:rowOff>190500</xdr:rowOff>
    </xdr:from>
    <xdr:ext cx="184731" cy="264560"/>
    <xdr:sp macro="" textlink="">
      <xdr:nvSpPr>
        <xdr:cNvPr id="9" name="TextBox 8">
          <a:extLst>
            <a:ext uri="{FF2B5EF4-FFF2-40B4-BE49-F238E27FC236}">
              <a16:creationId xmlns:a16="http://schemas.microsoft.com/office/drawing/2014/main" id="{B5778AC1-9B66-423E-BF5A-5F89F0E5B61F}"/>
            </a:ext>
          </a:extLst>
        </xdr:cNvPr>
        <xdr:cNvSpPr txBox="1"/>
      </xdr:nvSpPr>
      <xdr:spPr>
        <a:xfrm>
          <a:off x="5638800" y="1137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29</xdr:row>
      <xdr:rowOff>190500</xdr:rowOff>
    </xdr:from>
    <xdr:ext cx="184731" cy="264560"/>
    <xdr:sp macro="" textlink="">
      <xdr:nvSpPr>
        <xdr:cNvPr id="10" name="TextBox 9">
          <a:extLst>
            <a:ext uri="{FF2B5EF4-FFF2-40B4-BE49-F238E27FC236}">
              <a16:creationId xmlns:a16="http://schemas.microsoft.com/office/drawing/2014/main" id="{08566D90-5152-41BB-9BD4-E79E9316C14F}"/>
            </a:ext>
          </a:extLst>
        </xdr:cNvPr>
        <xdr:cNvSpPr txBox="1"/>
      </xdr:nvSpPr>
      <xdr:spPr>
        <a:xfrm>
          <a:off x="5638800" y="11687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29</xdr:row>
      <xdr:rowOff>190500</xdr:rowOff>
    </xdr:from>
    <xdr:ext cx="184731" cy="264560"/>
    <xdr:sp macro="" textlink="">
      <xdr:nvSpPr>
        <xdr:cNvPr id="11" name="TextBox 10">
          <a:extLst>
            <a:ext uri="{FF2B5EF4-FFF2-40B4-BE49-F238E27FC236}">
              <a16:creationId xmlns:a16="http://schemas.microsoft.com/office/drawing/2014/main" id="{768D4539-52DD-4A38-B4F3-C5B679E32A7A}"/>
            </a:ext>
          </a:extLst>
        </xdr:cNvPr>
        <xdr:cNvSpPr txBox="1"/>
      </xdr:nvSpPr>
      <xdr:spPr>
        <a:xfrm>
          <a:off x="5638800" y="11687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57</xdr:row>
      <xdr:rowOff>190500</xdr:rowOff>
    </xdr:from>
    <xdr:ext cx="184731" cy="264560"/>
    <xdr:sp macro="" textlink="">
      <xdr:nvSpPr>
        <xdr:cNvPr id="12" name="TextBox 11">
          <a:extLst>
            <a:ext uri="{FF2B5EF4-FFF2-40B4-BE49-F238E27FC236}">
              <a16:creationId xmlns:a16="http://schemas.microsoft.com/office/drawing/2014/main" id="{F4BF6F13-2BA3-433D-B523-584F3151EB75}"/>
            </a:ext>
          </a:extLst>
        </xdr:cNvPr>
        <xdr:cNvSpPr txBox="1"/>
      </xdr:nvSpPr>
      <xdr:spPr>
        <a:xfrm>
          <a:off x="5638800" y="20488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58</xdr:row>
      <xdr:rowOff>190500</xdr:rowOff>
    </xdr:from>
    <xdr:ext cx="184731" cy="264560"/>
    <xdr:sp macro="" textlink="">
      <xdr:nvSpPr>
        <xdr:cNvPr id="13" name="TextBox 12">
          <a:extLst>
            <a:ext uri="{FF2B5EF4-FFF2-40B4-BE49-F238E27FC236}">
              <a16:creationId xmlns:a16="http://schemas.microsoft.com/office/drawing/2014/main" id="{34CE04BC-2DDB-4D83-8A9E-465C91B121F5}"/>
            </a:ext>
          </a:extLst>
        </xdr:cNvPr>
        <xdr:cNvSpPr txBox="1"/>
      </xdr:nvSpPr>
      <xdr:spPr>
        <a:xfrm>
          <a:off x="5638800" y="2080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50</xdr:row>
      <xdr:rowOff>190500</xdr:rowOff>
    </xdr:from>
    <xdr:ext cx="184731" cy="264560"/>
    <xdr:sp macro="" textlink="">
      <xdr:nvSpPr>
        <xdr:cNvPr id="14" name="TextBox 13">
          <a:extLst>
            <a:ext uri="{FF2B5EF4-FFF2-40B4-BE49-F238E27FC236}">
              <a16:creationId xmlns:a16="http://schemas.microsoft.com/office/drawing/2014/main" id="{51A704A0-70B8-4B94-8087-8E63B4CEC416}"/>
            </a:ext>
          </a:extLst>
        </xdr:cNvPr>
        <xdr:cNvSpPr txBox="1"/>
      </xdr:nvSpPr>
      <xdr:spPr>
        <a:xfrm>
          <a:off x="5638800" y="1828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51</xdr:row>
      <xdr:rowOff>190500</xdr:rowOff>
    </xdr:from>
    <xdr:ext cx="184731" cy="264560"/>
    <xdr:sp macro="" textlink="">
      <xdr:nvSpPr>
        <xdr:cNvPr id="15" name="TextBox 14">
          <a:extLst>
            <a:ext uri="{FF2B5EF4-FFF2-40B4-BE49-F238E27FC236}">
              <a16:creationId xmlns:a16="http://schemas.microsoft.com/office/drawing/2014/main" id="{A6B2C73F-09C7-42F3-8C0F-F4E59B15A356}"/>
            </a:ext>
          </a:extLst>
        </xdr:cNvPr>
        <xdr:cNvSpPr txBox="1"/>
      </xdr:nvSpPr>
      <xdr:spPr>
        <a:xfrm>
          <a:off x="5638800" y="1860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25</xdr:row>
      <xdr:rowOff>190500</xdr:rowOff>
    </xdr:from>
    <xdr:ext cx="184731" cy="264560"/>
    <xdr:sp macro="" textlink="">
      <xdr:nvSpPr>
        <xdr:cNvPr id="16" name="TextBox 15">
          <a:extLst>
            <a:ext uri="{FF2B5EF4-FFF2-40B4-BE49-F238E27FC236}">
              <a16:creationId xmlns:a16="http://schemas.microsoft.com/office/drawing/2014/main" id="{B3DEBFE9-1FB3-4FA5-BD14-65D605F68C39}"/>
            </a:ext>
          </a:extLst>
        </xdr:cNvPr>
        <xdr:cNvSpPr txBox="1"/>
      </xdr:nvSpPr>
      <xdr:spPr>
        <a:xfrm>
          <a:off x="5638800" y="1042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25</xdr:row>
      <xdr:rowOff>190500</xdr:rowOff>
    </xdr:from>
    <xdr:ext cx="184731" cy="264560"/>
    <xdr:sp macro="" textlink="">
      <xdr:nvSpPr>
        <xdr:cNvPr id="17" name="TextBox 16">
          <a:extLst>
            <a:ext uri="{FF2B5EF4-FFF2-40B4-BE49-F238E27FC236}">
              <a16:creationId xmlns:a16="http://schemas.microsoft.com/office/drawing/2014/main" id="{3DE68CCA-7F3E-46DC-80C6-F16A3E3E3670}"/>
            </a:ext>
          </a:extLst>
        </xdr:cNvPr>
        <xdr:cNvSpPr txBox="1"/>
      </xdr:nvSpPr>
      <xdr:spPr>
        <a:xfrm>
          <a:off x="5638800" y="10429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33</xdr:row>
      <xdr:rowOff>190500</xdr:rowOff>
    </xdr:from>
    <xdr:ext cx="184731" cy="264560"/>
    <xdr:sp macro="" textlink="">
      <xdr:nvSpPr>
        <xdr:cNvPr id="18" name="TextBox 17">
          <a:extLst>
            <a:ext uri="{FF2B5EF4-FFF2-40B4-BE49-F238E27FC236}">
              <a16:creationId xmlns:a16="http://schemas.microsoft.com/office/drawing/2014/main" id="{BBA4E030-B200-4890-8E74-0CA7597D9CDE}"/>
            </a:ext>
          </a:extLst>
        </xdr:cNvPr>
        <xdr:cNvSpPr txBox="1"/>
      </xdr:nvSpPr>
      <xdr:spPr>
        <a:xfrm>
          <a:off x="5638800" y="12944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33</xdr:row>
      <xdr:rowOff>190500</xdr:rowOff>
    </xdr:from>
    <xdr:ext cx="184731" cy="264560"/>
    <xdr:sp macro="" textlink="">
      <xdr:nvSpPr>
        <xdr:cNvPr id="19" name="TextBox 18">
          <a:extLst>
            <a:ext uri="{FF2B5EF4-FFF2-40B4-BE49-F238E27FC236}">
              <a16:creationId xmlns:a16="http://schemas.microsoft.com/office/drawing/2014/main" id="{A336BA2A-F560-489A-A6EF-66D9B1AE3C20}"/>
            </a:ext>
          </a:extLst>
        </xdr:cNvPr>
        <xdr:cNvSpPr txBox="1"/>
      </xdr:nvSpPr>
      <xdr:spPr>
        <a:xfrm>
          <a:off x="5638800" y="129444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20</xdr:row>
      <xdr:rowOff>190500</xdr:rowOff>
    </xdr:from>
    <xdr:ext cx="184731" cy="264560"/>
    <xdr:sp macro="" textlink="">
      <xdr:nvSpPr>
        <xdr:cNvPr id="20" name="TextBox 19">
          <a:extLst>
            <a:ext uri="{FF2B5EF4-FFF2-40B4-BE49-F238E27FC236}">
              <a16:creationId xmlns:a16="http://schemas.microsoft.com/office/drawing/2014/main" id="{4CC5D417-2978-4CE7-A89D-75CCF97C9F56}"/>
            </a:ext>
          </a:extLst>
        </xdr:cNvPr>
        <xdr:cNvSpPr txBox="1"/>
      </xdr:nvSpPr>
      <xdr:spPr>
        <a:xfrm>
          <a:off x="5638800" y="885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28</xdr:row>
      <xdr:rowOff>190500</xdr:rowOff>
    </xdr:from>
    <xdr:ext cx="184731" cy="264560"/>
    <xdr:sp macro="" textlink="">
      <xdr:nvSpPr>
        <xdr:cNvPr id="21" name="TextBox 20">
          <a:extLst>
            <a:ext uri="{FF2B5EF4-FFF2-40B4-BE49-F238E27FC236}">
              <a16:creationId xmlns:a16="http://schemas.microsoft.com/office/drawing/2014/main" id="{6D1C1305-E877-46D9-AA31-24D3B7E72F68}"/>
            </a:ext>
          </a:extLst>
        </xdr:cNvPr>
        <xdr:cNvSpPr txBox="1"/>
      </xdr:nvSpPr>
      <xdr:spPr>
        <a:xfrm>
          <a:off x="5638800" y="11372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29</xdr:row>
      <xdr:rowOff>190500</xdr:rowOff>
    </xdr:from>
    <xdr:ext cx="184731" cy="264560"/>
    <xdr:sp macro="" textlink="">
      <xdr:nvSpPr>
        <xdr:cNvPr id="22" name="TextBox 21">
          <a:extLst>
            <a:ext uri="{FF2B5EF4-FFF2-40B4-BE49-F238E27FC236}">
              <a16:creationId xmlns:a16="http://schemas.microsoft.com/office/drawing/2014/main" id="{607DA1A0-983B-4F1B-834C-2E0FA08E5210}"/>
            </a:ext>
          </a:extLst>
        </xdr:cNvPr>
        <xdr:cNvSpPr txBox="1"/>
      </xdr:nvSpPr>
      <xdr:spPr>
        <a:xfrm>
          <a:off x="5638800" y="116871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57</xdr:row>
      <xdr:rowOff>190500</xdr:rowOff>
    </xdr:from>
    <xdr:ext cx="184731" cy="264560"/>
    <xdr:sp macro="" textlink="">
      <xdr:nvSpPr>
        <xdr:cNvPr id="23" name="TextBox 22">
          <a:extLst>
            <a:ext uri="{FF2B5EF4-FFF2-40B4-BE49-F238E27FC236}">
              <a16:creationId xmlns:a16="http://schemas.microsoft.com/office/drawing/2014/main" id="{DFE9B2DC-5D1F-47B1-925A-9137D5BAD7CE}"/>
            </a:ext>
          </a:extLst>
        </xdr:cNvPr>
        <xdr:cNvSpPr txBox="1"/>
      </xdr:nvSpPr>
      <xdr:spPr>
        <a:xfrm>
          <a:off x="5638800" y="20488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58</xdr:row>
      <xdr:rowOff>190500</xdr:rowOff>
    </xdr:from>
    <xdr:ext cx="184731" cy="264560"/>
    <xdr:sp macro="" textlink="">
      <xdr:nvSpPr>
        <xdr:cNvPr id="24" name="TextBox 23">
          <a:extLst>
            <a:ext uri="{FF2B5EF4-FFF2-40B4-BE49-F238E27FC236}">
              <a16:creationId xmlns:a16="http://schemas.microsoft.com/office/drawing/2014/main" id="{7061168B-DE11-4321-A53D-3E558488849D}"/>
            </a:ext>
          </a:extLst>
        </xdr:cNvPr>
        <xdr:cNvSpPr txBox="1"/>
      </xdr:nvSpPr>
      <xdr:spPr>
        <a:xfrm>
          <a:off x="5638800" y="20802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51</xdr:row>
      <xdr:rowOff>190500</xdr:rowOff>
    </xdr:from>
    <xdr:ext cx="184731" cy="264560"/>
    <xdr:sp macro="" textlink="">
      <xdr:nvSpPr>
        <xdr:cNvPr id="25" name="TextBox 24">
          <a:extLst>
            <a:ext uri="{FF2B5EF4-FFF2-40B4-BE49-F238E27FC236}">
              <a16:creationId xmlns:a16="http://schemas.microsoft.com/office/drawing/2014/main" id="{02F0A4AE-DEF0-4D3D-B4DF-A593B779BDF1}"/>
            </a:ext>
          </a:extLst>
        </xdr:cNvPr>
        <xdr:cNvSpPr txBox="1"/>
      </xdr:nvSpPr>
      <xdr:spPr>
        <a:xfrm>
          <a:off x="5638800" y="18602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20</xdr:row>
      <xdr:rowOff>190500</xdr:rowOff>
    </xdr:from>
    <xdr:ext cx="184731" cy="264560"/>
    <xdr:sp macro="" textlink="">
      <xdr:nvSpPr>
        <xdr:cNvPr id="26" name="TextBox 25">
          <a:extLst>
            <a:ext uri="{FF2B5EF4-FFF2-40B4-BE49-F238E27FC236}">
              <a16:creationId xmlns:a16="http://schemas.microsoft.com/office/drawing/2014/main" id="{78F174B2-26FF-41D3-962B-0843EF890864}"/>
            </a:ext>
          </a:extLst>
        </xdr:cNvPr>
        <xdr:cNvSpPr txBox="1"/>
      </xdr:nvSpPr>
      <xdr:spPr>
        <a:xfrm>
          <a:off x="5638800" y="885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35</xdr:row>
      <xdr:rowOff>190500</xdr:rowOff>
    </xdr:from>
    <xdr:ext cx="184731" cy="264560"/>
    <xdr:sp macro="" textlink="">
      <xdr:nvSpPr>
        <xdr:cNvPr id="27" name="TextBox 26">
          <a:extLst>
            <a:ext uri="{FF2B5EF4-FFF2-40B4-BE49-F238E27FC236}">
              <a16:creationId xmlns:a16="http://schemas.microsoft.com/office/drawing/2014/main" id="{FC752138-2828-4F63-B230-AAB1CDFE4E47}"/>
            </a:ext>
          </a:extLst>
        </xdr:cNvPr>
        <xdr:cNvSpPr txBox="1"/>
      </xdr:nvSpPr>
      <xdr:spPr>
        <a:xfrm>
          <a:off x="5638800" y="13573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34</xdr:row>
      <xdr:rowOff>190500</xdr:rowOff>
    </xdr:from>
    <xdr:ext cx="184731" cy="264560"/>
    <xdr:sp macro="" textlink="">
      <xdr:nvSpPr>
        <xdr:cNvPr id="28" name="TextBox 27">
          <a:extLst>
            <a:ext uri="{FF2B5EF4-FFF2-40B4-BE49-F238E27FC236}">
              <a16:creationId xmlns:a16="http://schemas.microsoft.com/office/drawing/2014/main" id="{5C5BEF12-86D7-472E-A232-FB4A636304A3}"/>
            </a:ext>
          </a:extLst>
        </xdr:cNvPr>
        <xdr:cNvSpPr txBox="1"/>
      </xdr:nvSpPr>
      <xdr:spPr>
        <a:xfrm>
          <a:off x="5638800" y="1325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34</xdr:row>
      <xdr:rowOff>190500</xdr:rowOff>
    </xdr:from>
    <xdr:ext cx="184731" cy="264560"/>
    <xdr:sp macro="" textlink="">
      <xdr:nvSpPr>
        <xdr:cNvPr id="29" name="TextBox 28">
          <a:extLst>
            <a:ext uri="{FF2B5EF4-FFF2-40B4-BE49-F238E27FC236}">
              <a16:creationId xmlns:a16="http://schemas.microsoft.com/office/drawing/2014/main" id="{8964A6FF-A6F5-432A-A0BB-069E52FC1C84}"/>
            </a:ext>
          </a:extLst>
        </xdr:cNvPr>
        <xdr:cNvSpPr txBox="1"/>
      </xdr:nvSpPr>
      <xdr:spPr>
        <a:xfrm>
          <a:off x="5638800" y="1325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0" name="TextBox 29">
          <a:extLst>
            <a:ext uri="{FF2B5EF4-FFF2-40B4-BE49-F238E27FC236}">
              <a16:creationId xmlns:a16="http://schemas.microsoft.com/office/drawing/2014/main" id="{972AE3E1-70A2-4C16-9866-79D7F9D86836}"/>
            </a:ext>
          </a:extLst>
        </xdr:cNvPr>
        <xdr:cNvSpPr txBox="1"/>
      </xdr:nvSpPr>
      <xdr:spPr>
        <a:xfrm>
          <a:off x="5638800" y="1388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35</xdr:row>
      <xdr:rowOff>190500</xdr:rowOff>
    </xdr:from>
    <xdr:ext cx="184731" cy="264560"/>
    <xdr:sp macro="" textlink="">
      <xdr:nvSpPr>
        <xdr:cNvPr id="31" name="TextBox 30">
          <a:extLst>
            <a:ext uri="{FF2B5EF4-FFF2-40B4-BE49-F238E27FC236}">
              <a16:creationId xmlns:a16="http://schemas.microsoft.com/office/drawing/2014/main" id="{07F87795-FE82-416B-A15B-4432D3A52191}"/>
            </a:ext>
          </a:extLst>
        </xdr:cNvPr>
        <xdr:cNvSpPr txBox="1"/>
      </xdr:nvSpPr>
      <xdr:spPr>
        <a:xfrm>
          <a:off x="5638800" y="13573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35</xdr:row>
      <xdr:rowOff>190500</xdr:rowOff>
    </xdr:from>
    <xdr:ext cx="184731" cy="264560"/>
    <xdr:sp macro="" textlink="">
      <xdr:nvSpPr>
        <xdr:cNvPr id="32" name="TextBox 31">
          <a:extLst>
            <a:ext uri="{FF2B5EF4-FFF2-40B4-BE49-F238E27FC236}">
              <a16:creationId xmlns:a16="http://schemas.microsoft.com/office/drawing/2014/main" id="{21A6D82D-92B0-4012-AA05-6F852DD98262}"/>
            </a:ext>
          </a:extLst>
        </xdr:cNvPr>
        <xdr:cNvSpPr txBox="1"/>
      </xdr:nvSpPr>
      <xdr:spPr>
        <a:xfrm>
          <a:off x="5638800" y="13573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3" name="TextBox 32">
          <a:extLst>
            <a:ext uri="{FF2B5EF4-FFF2-40B4-BE49-F238E27FC236}">
              <a16:creationId xmlns:a16="http://schemas.microsoft.com/office/drawing/2014/main" id="{A1D723D8-EC54-4B8A-9CF3-C45FB3167EB2}"/>
            </a:ext>
          </a:extLst>
        </xdr:cNvPr>
        <xdr:cNvSpPr txBox="1"/>
      </xdr:nvSpPr>
      <xdr:spPr>
        <a:xfrm>
          <a:off x="5638800" y="1388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4" name="TextBox 33">
          <a:extLst>
            <a:ext uri="{FF2B5EF4-FFF2-40B4-BE49-F238E27FC236}">
              <a16:creationId xmlns:a16="http://schemas.microsoft.com/office/drawing/2014/main" id="{5BD22A87-FD3D-4588-92F6-7FBDBC9C6885}"/>
            </a:ext>
          </a:extLst>
        </xdr:cNvPr>
        <xdr:cNvSpPr txBox="1"/>
      </xdr:nvSpPr>
      <xdr:spPr>
        <a:xfrm>
          <a:off x="5638800" y="1388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37</xdr:row>
      <xdr:rowOff>190500</xdr:rowOff>
    </xdr:from>
    <xdr:ext cx="184731" cy="264560"/>
    <xdr:sp macro="" textlink="">
      <xdr:nvSpPr>
        <xdr:cNvPr id="35" name="TextBox 34">
          <a:extLst>
            <a:ext uri="{FF2B5EF4-FFF2-40B4-BE49-F238E27FC236}">
              <a16:creationId xmlns:a16="http://schemas.microsoft.com/office/drawing/2014/main" id="{5115E300-CBA2-41BC-9421-E3AD21DBC7B8}"/>
            </a:ext>
          </a:extLst>
        </xdr:cNvPr>
        <xdr:cNvSpPr txBox="1"/>
      </xdr:nvSpPr>
      <xdr:spPr>
        <a:xfrm>
          <a:off x="5638800" y="14201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6" name="TextBox 35">
          <a:extLst>
            <a:ext uri="{FF2B5EF4-FFF2-40B4-BE49-F238E27FC236}">
              <a16:creationId xmlns:a16="http://schemas.microsoft.com/office/drawing/2014/main" id="{65FA8F5C-45CA-4BE0-AE0D-2096B50FAEE4}"/>
            </a:ext>
          </a:extLst>
        </xdr:cNvPr>
        <xdr:cNvSpPr txBox="1"/>
      </xdr:nvSpPr>
      <xdr:spPr>
        <a:xfrm>
          <a:off x="5638800" y="1388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36</xdr:row>
      <xdr:rowOff>190500</xdr:rowOff>
    </xdr:from>
    <xdr:ext cx="184731" cy="264560"/>
    <xdr:sp macro="" textlink="">
      <xdr:nvSpPr>
        <xdr:cNvPr id="37" name="TextBox 36">
          <a:extLst>
            <a:ext uri="{FF2B5EF4-FFF2-40B4-BE49-F238E27FC236}">
              <a16:creationId xmlns:a16="http://schemas.microsoft.com/office/drawing/2014/main" id="{7C14917E-8257-430C-ADF9-DB833F6334A1}"/>
            </a:ext>
          </a:extLst>
        </xdr:cNvPr>
        <xdr:cNvSpPr txBox="1"/>
      </xdr:nvSpPr>
      <xdr:spPr>
        <a:xfrm>
          <a:off x="5638800" y="13887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37</xdr:row>
      <xdr:rowOff>190500</xdr:rowOff>
    </xdr:from>
    <xdr:ext cx="184731" cy="264560"/>
    <xdr:sp macro="" textlink="">
      <xdr:nvSpPr>
        <xdr:cNvPr id="38" name="TextBox 37">
          <a:extLst>
            <a:ext uri="{FF2B5EF4-FFF2-40B4-BE49-F238E27FC236}">
              <a16:creationId xmlns:a16="http://schemas.microsoft.com/office/drawing/2014/main" id="{B5056837-BF44-4A36-9777-AFB906E4D877}"/>
            </a:ext>
          </a:extLst>
        </xdr:cNvPr>
        <xdr:cNvSpPr txBox="1"/>
      </xdr:nvSpPr>
      <xdr:spPr>
        <a:xfrm>
          <a:off x="5638800" y="14201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37</xdr:row>
      <xdr:rowOff>190500</xdr:rowOff>
    </xdr:from>
    <xdr:ext cx="184731" cy="264560"/>
    <xdr:sp macro="" textlink="">
      <xdr:nvSpPr>
        <xdr:cNvPr id="39" name="TextBox 38">
          <a:extLst>
            <a:ext uri="{FF2B5EF4-FFF2-40B4-BE49-F238E27FC236}">
              <a16:creationId xmlns:a16="http://schemas.microsoft.com/office/drawing/2014/main" id="{8DDFD9E9-DF9A-41F3-AAF8-59BDC56CA8C7}"/>
            </a:ext>
          </a:extLst>
        </xdr:cNvPr>
        <xdr:cNvSpPr txBox="1"/>
      </xdr:nvSpPr>
      <xdr:spPr>
        <a:xfrm>
          <a:off x="5638800" y="142017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30</xdr:row>
      <xdr:rowOff>190500</xdr:rowOff>
    </xdr:from>
    <xdr:ext cx="184731" cy="264560"/>
    <xdr:sp macro="" textlink="">
      <xdr:nvSpPr>
        <xdr:cNvPr id="40" name="TextBox 39">
          <a:extLst>
            <a:ext uri="{FF2B5EF4-FFF2-40B4-BE49-F238E27FC236}">
              <a16:creationId xmlns:a16="http://schemas.microsoft.com/office/drawing/2014/main" id="{A448AAB2-A6E8-4D5E-9851-B953235997E6}"/>
            </a:ext>
          </a:extLst>
        </xdr:cNvPr>
        <xdr:cNvSpPr txBox="1"/>
      </xdr:nvSpPr>
      <xdr:spPr>
        <a:xfrm>
          <a:off x="5638800" y="1200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30</xdr:row>
      <xdr:rowOff>190500</xdr:rowOff>
    </xdr:from>
    <xdr:ext cx="184731" cy="264560"/>
    <xdr:sp macro="" textlink="">
      <xdr:nvSpPr>
        <xdr:cNvPr id="41" name="TextBox 40">
          <a:extLst>
            <a:ext uri="{FF2B5EF4-FFF2-40B4-BE49-F238E27FC236}">
              <a16:creationId xmlns:a16="http://schemas.microsoft.com/office/drawing/2014/main" id="{B679BE56-93DF-4D2C-B590-980957814DD5}"/>
            </a:ext>
          </a:extLst>
        </xdr:cNvPr>
        <xdr:cNvSpPr txBox="1"/>
      </xdr:nvSpPr>
      <xdr:spPr>
        <a:xfrm>
          <a:off x="5638800" y="1200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30</xdr:row>
      <xdr:rowOff>190500</xdr:rowOff>
    </xdr:from>
    <xdr:ext cx="184731" cy="264560"/>
    <xdr:sp macro="" textlink="">
      <xdr:nvSpPr>
        <xdr:cNvPr id="42" name="TextBox 41">
          <a:extLst>
            <a:ext uri="{FF2B5EF4-FFF2-40B4-BE49-F238E27FC236}">
              <a16:creationId xmlns:a16="http://schemas.microsoft.com/office/drawing/2014/main" id="{5EE190BD-9DE0-4D14-AACF-4150E37EEF46}"/>
            </a:ext>
          </a:extLst>
        </xdr:cNvPr>
        <xdr:cNvSpPr txBox="1"/>
      </xdr:nvSpPr>
      <xdr:spPr>
        <a:xfrm>
          <a:off x="5638800" y="12001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31</xdr:row>
      <xdr:rowOff>190500</xdr:rowOff>
    </xdr:from>
    <xdr:ext cx="184731" cy="264560"/>
    <xdr:sp macro="" textlink="">
      <xdr:nvSpPr>
        <xdr:cNvPr id="43" name="TextBox 42">
          <a:extLst>
            <a:ext uri="{FF2B5EF4-FFF2-40B4-BE49-F238E27FC236}">
              <a16:creationId xmlns:a16="http://schemas.microsoft.com/office/drawing/2014/main" id="{D03682DD-B861-4B6D-BC41-E307C595C7D8}"/>
            </a:ext>
          </a:extLst>
        </xdr:cNvPr>
        <xdr:cNvSpPr txBox="1"/>
      </xdr:nvSpPr>
      <xdr:spPr>
        <a:xfrm>
          <a:off x="5638800" y="1231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31</xdr:row>
      <xdr:rowOff>190500</xdr:rowOff>
    </xdr:from>
    <xdr:ext cx="184731" cy="264560"/>
    <xdr:sp macro="" textlink="">
      <xdr:nvSpPr>
        <xdr:cNvPr id="44" name="TextBox 43">
          <a:extLst>
            <a:ext uri="{FF2B5EF4-FFF2-40B4-BE49-F238E27FC236}">
              <a16:creationId xmlns:a16="http://schemas.microsoft.com/office/drawing/2014/main" id="{BA043272-5D26-49CA-AAEF-CF2C8A8FD033}"/>
            </a:ext>
          </a:extLst>
        </xdr:cNvPr>
        <xdr:cNvSpPr txBox="1"/>
      </xdr:nvSpPr>
      <xdr:spPr>
        <a:xfrm>
          <a:off x="5638800" y="1231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31</xdr:row>
      <xdr:rowOff>190500</xdr:rowOff>
    </xdr:from>
    <xdr:ext cx="184731" cy="264560"/>
    <xdr:sp macro="" textlink="">
      <xdr:nvSpPr>
        <xdr:cNvPr id="45" name="TextBox 44">
          <a:extLst>
            <a:ext uri="{FF2B5EF4-FFF2-40B4-BE49-F238E27FC236}">
              <a16:creationId xmlns:a16="http://schemas.microsoft.com/office/drawing/2014/main" id="{E3562DED-B4C3-47A3-9DBF-05351E89A65B}"/>
            </a:ext>
          </a:extLst>
        </xdr:cNvPr>
        <xdr:cNvSpPr txBox="1"/>
      </xdr:nvSpPr>
      <xdr:spPr>
        <a:xfrm>
          <a:off x="5638800" y="12315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32</xdr:row>
      <xdr:rowOff>190500</xdr:rowOff>
    </xdr:from>
    <xdr:ext cx="184731" cy="264560"/>
    <xdr:sp macro="" textlink="">
      <xdr:nvSpPr>
        <xdr:cNvPr id="46" name="TextBox 45">
          <a:extLst>
            <a:ext uri="{FF2B5EF4-FFF2-40B4-BE49-F238E27FC236}">
              <a16:creationId xmlns:a16="http://schemas.microsoft.com/office/drawing/2014/main" id="{4F161BE7-0C47-49DD-90AD-8B3D3CE567CE}"/>
            </a:ext>
          </a:extLst>
        </xdr:cNvPr>
        <xdr:cNvSpPr txBox="1"/>
      </xdr:nvSpPr>
      <xdr:spPr>
        <a:xfrm>
          <a:off x="5638800" y="12630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32</xdr:row>
      <xdr:rowOff>190500</xdr:rowOff>
    </xdr:from>
    <xdr:ext cx="184731" cy="264560"/>
    <xdr:sp macro="" textlink="">
      <xdr:nvSpPr>
        <xdr:cNvPr id="47" name="TextBox 46">
          <a:extLst>
            <a:ext uri="{FF2B5EF4-FFF2-40B4-BE49-F238E27FC236}">
              <a16:creationId xmlns:a16="http://schemas.microsoft.com/office/drawing/2014/main" id="{5825EBCE-D655-4B56-B0BB-B64AB485F4CB}"/>
            </a:ext>
          </a:extLst>
        </xdr:cNvPr>
        <xdr:cNvSpPr txBox="1"/>
      </xdr:nvSpPr>
      <xdr:spPr>
        <a:xfrm>
          <a:off x="5638800" y="12630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32</xdr:row>
      <xdr:rowOff>190500</xdr:rowOff>
    </xdr:from>
    <xdr:ext cx="184731" cy="264560"/>
    <xdr:sp macro="" textlink="">
      <xdr:nvSpPr>
        <xdr:cNvPr id="48" name="TextBox 47">
          <a:extLst>
            <a:ext uri="{FF2B5EF4-FFF2-40B4-BE49-F238E27FC236}">
              <a16:creationId xmlns:a16="http://schemas.microsoft.com/office/drawing/2014/main" id="{72E4B557-CE5A-4723-8D1E-D8086C32D8A0}"/>
            </a:ext>
          </a:extLst>
        </xdr:cNvPr>
        <xdr:cNvSpPr txBox="1"/>
      </xdr:nvSpPr>
      <xdr:spPr>
        <a:xfrm>
          <a:off x="5638800" y="12630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20</xdr:row>
      <xdr:rowOff>190500</xdr:rowOff>
    </xdr:from>
    <xdr:ext cx="184731" cy="264560"/>
    <xdr:sp macro="" textlink="">
      <xdr:nvSpPr>
        <xdr:cNvPr id="49" name="TextBox 48">
          <a:extLst>
            <a:ext uri="{FF2B5EF4-FFF2-40B4-BE49-F238E27FC236}">
              <a16:creationId xmlns:a16="http://schemas.microsoft.com/office/drawing/2014/main" id="{EDB63AD9-4432-4CCB-A020-866DB92E60F9}"/>
            </a:ext>
          </a:extLst>
        </xdr:cNvPr>
        <xdr:cNvSpPr txBox="1"/>
      </xdr:nvSpPr>
      <xdr:spPr>
        <a:xfrm>
          <a:off x="5638800" y="8858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21</xdr:row>
      <xdr:rowOff>190500</xdr:rowOff>
    </xdr:from>
    <xdr:ext cx="184731" cy="264560"/>
    <xdr:sp macro="" textlink="">
      <xdr:nvSpPr>
        <xdr:cNvPr id="50" name="TextBox 49">
          <a:extLst>
            <a:ext uri="{FF2B5EF4-FFF2-40B4-BE49-F238E27FC236}">
              <a16:creationId xmlns:a16="http://schemas.microsoft.com/office/drawing/2014/main" id="{FF5E3999-69AE-45F1-A573-FD1EE31CDFFE}"/>
            </a:ext>
          </a:extLst>
        </xdr:cNvPr>
        <xdr:cNvSpPr txBox="1"/>
      </xdr:nvSpPr>
      <xdr:spPr>
        <a:xfrm>
          <a:off x="5638800" y="9172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0</xdr:colOff>
      <xdr:row>21</xdr:row>
      <xdr:rowOff>190500</xdr:rowOff>
    </xdr:from>
    <xdr:ext cx="184731" cy="264560"/>
    <xdr:sp macro="" textlink="">
      <xdr:nvSpPr>
        <xdr:cNvPr id="51" name="TextBox 50">
          <a:extLst>
            <a:ext uri="{FF2B5EF4-FFF2-40B4-BE49-F238E27FC236}">
              <a16:creationId xmlns:a16="http://schemas.microsoft.com/office/drawing/2014/main" id="{7D269842-C97F-4A2F-AF7C-F82836AD3ACA}"/>
            </a:ext>
          </a:extLst>
        </xdr:cNvPr>
        <xdr:cNvSpPr txBox="1"/>
      </xdr:nvSpPr>
      <xdr:spPr>
        <a:xfrm>
          <a:off x="5638800" y="91725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0</xdr:colOff>
      <xdr:row>20</xdr:row>
      <xdr:rowOff>0</xdr:rowOff>
    </xdr:from>
    <xdr:to>
      <xdr:col>2</xdr:col>
      <xdr:colOff>190500</xdr:colOff>
      <xdr:row>21</xdr:row>
      <xdr:rowOff>76200</xdr:rowOff>
    </xdr:to>
    <xdr:sp macro="" textlink="">
      <xdr:nvSpPr>
        <xdr:cNvPr id="2" name="Text Box 4">
          <a:extLst>
            <a:ext uri="{FF2B5EF4-FFF2-40B4-BE49-F238E27FC236}">
              <a16:creationId xmlns:a16="http://schemas.microsoft.com/office/drawing/2014/main" id="{758568CE-68E7-47ED-BA9D-0079EC34AC9A}"/>
            </a:ext>
          </a:extLst>
        </xdr:cNvPr>
        <xdr:cNvSpPr>
          <a:spLocks noChangeArrowheads="1"/>
        </xdr:cNvSpPr>
      </xdr:nvSpPr>
      <xdr:spPr bwMode="auto">
        <a:xfrm>
          <a:off x="1219200" y="3238500"/>
          <a:ext cx="190500" cy="2381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xdr:col>
      <xdr:colOff>0</xdr:colOff>
      <xdr:row>21</xdr:row>
      <xdr:rowOff>0</xdr:rowOff>
    </xdr:from>
    <xdr:to>
      <xdr:col>2</xdr:col>
      <xdr:colOff>190500</xdr:colOff>
      <xdr:row>22</xdr:row>
      <xdr:rowOff>76200</xdr:rowOff>
    </xdr:to>
    <xdr:sp macro="" textlink="">
      <xdr:nvSpPr>
        <xdr:cNvPr id="3" name="Text Box 1">
          <a:extLst>
            <a:ext uri="{FF2B5EF4-FFF2-40B4-BE49-F238E27FC236}">
              <a16:creationId xmlns:a16="http://schemas.microsoft.com/office/drawing/2014/main" id="{EC1C67BB-66B2-4923-8906-0D1E9193FDC9}"/>
            </a:ext>
          </a:extLst>
        </xdr:cNvPr>
        <xdr:cNvSpPr>
          <a:spLocks noChangeArrowheads="1"/>
        </xdr:cNvSpPr>
      </xdr:nvSpPr>
      <xdr:spPr bwMode="auto">
        <a:xfrm>
          <a:off x="1219200" y="3400425"/>
          <a:ext cx="190500" cy="2381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1219200</xdr:colOff>
      <xdr:row>20</xdr:row>
      <xdr:rowOff>190500</xdr:rowOff>
    </xdr:from>
    <xdr:ext cx="184731" cy="264560"/>
    <xdr:sp macro="" textlink="">
      <xdr:nvSpPr>
        <xdr:cNvPr id="2" name="TextBox 1">
          <a:extLst>
            <a:ext uri="{FF2B5EF4-FFF2-40B4-BE49-F238E27FC236}">
              <a16:creationId xmlns:a16="http://schemas.microsoft.com/office/drawing/2014/main" id="{0DEB068B-34D3-46E8-B38D-D6852AE3722E}"/>
            </a:ext>
          </a:extLst>
        </xdr:cNvPr>
        <xdr:cNvSpPr txBox="1"/>
      </xdr:nvSpPr>
      <xdr:spPr>
        <a:xfrm>
          <a:off x="3171825" y="5953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1219200</xdr:colOff>
      <xdr:row>21</xdr:row>
      <xdr:rowOff>190500</xdr:rowOff>
    </xdr:from>
    <xdr:ext cx="184731" cy="264560"/>
    <xdr:sp macro="" textlink="">
      <xdr:nvSpPr>
        <xdr:cNvPr id="3" name="TextBox 2">
          <a:extLst>
            <a:ext uri="{FF2B5EF4-FFF2-40B4-BE49-F238E27FC236}">
              <a16:creationId xmlns:a16="http://schemas.microsoft.com/office/drawing/2014/main" id="{8AFF107E-BC4B-4AEE-8DAF-8BA2BB4B1B71}"/>
            </a:ext>
          </a:extLst>
        </xdr:cNvPr>
        <xdr:cNvSpPr txBox="1"/>
      </xdr:nvSpPr>
      <xdr:spPr>
        <a:xfrm>
          <a:off x="3171825" y="6172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1219200</xdr:colOff>
      <xdr:row>18</xdr:row>
      <xdr:rowOff>190500</xdr:rowOff>
    </xdr:from>
    <xdr:ext cx="184731" cy="264560"/>
    <xdr:sp macro="" textlink="">
      <xdr:nvSpPr>
        <xdr:cNvPr id="4" name="TextBox 3">
          <a:extLst>
            <a:ext uri="{FF2B5EF4-FFF2-40B4-BE49-F238E27FC236}">
              <a16:creationId xmlns:a16="http://schemas.microsoft.com/office/drawing/2014/main" id="{A4109EB2-FC11-4724-9767-D45719250F16}"/>
            </a:ext>
          </a:extLst>
        </xdr:cNvPr>
        <xdr:cNvSpPr txBox="1"/>
      </xdr:nvSpPr>
      <xdr:spPr>
        <a:xfrm>
          <a:off x="3171825" y="5734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xdr:col>
      <xdr:colOff>1219200</xdr:colOff>
      <xdr:row>20</xdr:row>
      <xdr:rowOff>190500</xdr:rowOff>
    </xdr:from>
    <xdr:ext cx="184731" cy="264560"/>
    <xdr:sp macro="" textlink="">
      <xdr:nvSpPr>
        <xdr:cNvPr id="5" name="TextBox 4">
          <a:extLst>
            <a:ext uri="{FF2B5EF4-FFF2-40B4-BE49-F238E27FC236}">
              <a16:creationId xmlns:a16="http://schemas.microsoft.com/office/drawing/2014/main" id="{603CFA4D-0D85-4DE4-BEA0-650EE45DBB69}"/>
            </a:ext>
          </a:extLst>
        </xdr:cNvPr>
        <xdr:cNvSpPr txBox="1"/>
      </xdr:nvSpPr>
      <xdr:spPr>
        <a:xfrm>
          <a:off x="3171825" y="5953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20</xdr:row>
      <xdr:rowOff>190500</xdr:rowOff>
    </xdr:from>
    <xdr:ext cx="184731" cy="264560"/>
    <xdr:sp macro="" textlink="">
      <xdr:nvSpPr>
        <xdr:cNvPr id="6" name="TextBox 5">
          <a:extLst>
            <a:ext uri="{FF2B5EF4-FFF2-40B4-BE49-F238E27FC236}">
              <a16:creationId xmlns:a16="http://schemas.microsoft.com/office/drawing/2014/main" id="{8C69FBBD-AFCE-4479-9700-5357EA071A2D}"/>
            </a:ext>
          </a:extLst>
        </xdr:cNvPr>
        <xdr:cNvSpPr txBox="1"/>
      </xdr:nvSpPr>
      <xdr:spPr>
        <a:xfrm>
          <a:off x="3324225" y="670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21</xdr:row>
      <xdr:rowOff>190500</xdr:rowOff>
    </xdr:from>
    <xdr:ext cx="184731" cy="264560"/>
    <xdr:sp macro="" textlink="">
      <xdr:nvSpPr>
        <xdr:cNvPr id="7" name="TextBox 6">
          <a:extLst>
            <a:ext uri="{FF2B5EF4-FFF2-40B4-BE49-F238E27FC236}">
              <a16:creationId xmlns:a16="http://schemas.microsoft.com/office/drawing/2014/main" id="{EB656982-FD54-40D0-932D-D83424C23A80}"/>
            </a:ext>
          </a:extLst>
        </xdr:cNvPr>
        <xdr:cNvSpPr txBox="1"/>
      </xdr:nvSpPr>
      <xdr:spPr>
        <a:xfrm>
          <a:off x="3324225" y="6924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18</xdr:row>
      <xdr:rowOff>190500</xdr:rowOff>
    </xdr:from>
    <xdr:ext cx="184731" cy="264560"/>
    <xdr:sp macro="" textlink="">
      <xdr:nvSpPr>
        <xdr:cNvPr id="8" name="TextBox 7">
          <a:extLst>
            <a:ext uri="{FF2B5EF4-FFF2-40B4-BE49-F238E27FC236}">
              <a16:creationId xmlns:a16="http://schemas.microsoft.com/office/drawing/2014/main" id="{0481B157-E282-4444-B67C-C2766FBFD73A}"/>
            </a:ext>
          </a:extLst>
        </xdr:cNvPr>
        <xdr:cNvSpPr txBox="1"/>
      </xdr:nvSpPr>
      <xdr:spPr>
        <a:xfrm>
          <a:off x="3324225" y="648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20</xdr:row>
      <xdr:rowOff>190500</xdr:rowOff>
    </xdr:from>
    <xdr:ext cx="184731" cy="264560"/>
    <xdr:sp macro="" textlink="">
      <xdr:nvSpPr>
        <xdr:cNvPr id="9" name="TextBox 8">
          <a:extLst>
            <a:ext uri="{FF2B5EF4-FFF2-40B4-BE49-F238E27FC236}">
              <a16:creationId xmlns:a16="http://schemas.microsoft.com/office/drawing/2014/main" id="{8E937859-94FD-4EFD-892C-A608FDCE650D}"/>
            </a:ext>
          </a:extLst>
        </xdr:cNvPr>
        <xdr:cNvSpPr txBox="1"/>
      </xdr:nvSpPr>
      <xdr:spPr>
        <a:xfrm>
          <a:off x="3324225" y="6705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25</xdr:row>
      <xdr:rowOff>190500</xdr:rowOff>
    </xdr:from>
    <xdr:ext cx="184731" cy="264560"/>
    <xdr:sp macro="" textlink="">
      <xdr:nvSpPr>
        <xdr:cNvPr id="10" name="TextBox 9">
          <a:extLst>
            <a:ext uri="{FF2B5EF4-FFF2-40B4-BE49-F238E27FC236}">
              <a16:creationId xmlns:a16="http://schemas.microsoft.com/office/drawing/2014/main" id="{069EC97D-93EE-4348-9D0E-F73A9474E3CF}"/>
            </a:ext>
          </a:extLst>
        </xdr:cNvPr>
        <xdr:cNvSpPr txBox="1"/>
      </xdr:nvSpPr>
      <xdr:spPr>
        <a:xfrm>
          <a:off x="3324225" y="7800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26</xdr:row>
      <xdr:rowOff>190500</xdr:rowOff>
    </xdr:from>
    <xdr:ext cx="184731" cy="264560"/>
    <xdr:sp macro="" textlink="">
      <xdr:nvSpPr>
        <xdr:cNvPr id="11" name="TextBox 10">
          <a:extLst>
            <a:ext uri="{FF2B5EF4-FFF2-40B4-BE49-F238E27FC236}">
              <a16:creationId xmlns:a16="http://schemas.microsoft.com/office/drawing/2014/main" id="{A611219E-BFF8-499F-93AD-BAAD762B7923}"/>
            </a:ext>
          </a:extLst>
        </xdr:cNvPr>
        <xdr:cNvSpPr txBox="1"/>
      </xdr:nvSpPr>
      <xdr:spPr>
        <a:xfrm>
          <a:off x="3324225" y="802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27</xdr:row>
      <xdr:rowOff>190500</xdr:rowOff>
    </xdr:from>
    <xdr:ext cx="184731" cy="264560"/>
    <xdr:sp macro="" textlink="">
      <xdr:nvSpPr>
        <xdr:cNvPr id="12" name="TextBox 11">
          <a:extLst>
            <a:ext uri="{FF2B5EF4-FFF2-40B4-BE49-F238E27FC236}">
              <a16:creationId xmlns:a16="http://schemas.microsoft.com/office/drawing/2014/main" id="{8779274A-175D-4B77-A16B-E10FC603F519}"/>
            </a:ext>
          </a:extLst>
        </xdr:cNvPr>
        <xdr:cNvSpPr txBox="1"/>
      </xdr:nvSpPr>
      <xdr:spPr>
        <a:xfrm>
          <a:off x="3324225" y="8239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27</xdr:row>
      <xdr:rowOff>190500</xdr:rowOff>
    </xdr:from>
    <xdr:ext cx="184731" cy="264560"/>
    <xdr:sp macro="" textlink="">
      <xdr:nvSpPr>
        <xdr:cNvPr id="13" name="TextBox 12">
          <a:extLst>
            <a:ext uri="{FF2B5EF4-FFF2-40B4-BE49-F238E27FC236}">
              <a16:creationId xmlns:a16="http://schemas.microsoft.com/office/drawing/2014/main" id="{8D702EE8-5DBC-4E4C-875D-15FEE1D2A1CD}"/>
            </a:ext>
          </a:extLst>
        </xdr:cNvPr>
        <xdr:cNvSpPr txBox="1"/>
      </xdr:nvSpPr>
      <xdr:spPr>
        <a:xfrm>
          <a:off x="3324225" y="8239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28</xdr:row>
      <xdr:rowOff>190500</xdr:rowOff>
    </xdr:from>
    <xdr:ext cx="184731" cy="264560"/>
    <xdr:sp macro="" textlink="">
      <xdr:nvSpPr>
        <xdr:cNvPr id="14" name="TextBox 13">
          <a:extLst>
            <a:ext uri="{FF2B5EF4-FFF2-40B4-BE49-F238E27FC236}">
              <a16:creationId xmlns:a16="http://schemas.microsoft.com/office/drawing/2014/main" id="{ED846048-B70F-42E6-B920-305B476A74BC}"/>
            </a:ext>
          </a:extLst>
        </xdr:cNvPr>
        <xdr:cNvSpPr txBox="1"/>
      </xdr:nvSpPr>
      <xdr:spPr>
        <a:xfrm>
          <a:off x="3324225" y="8458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29</xdr:row>
      <xdr:rowOff>190500</xdr:rowOff>
    </xdr:from>
    <xdr:ext cx="184731" cy="264560"/>
    <xdr:sp macro="" textlink="">
      <xdr:nvSpPr>
        <xdr:cNvPr id="15" name="TextBox 14">
          <a:extLst>
            <a:ext uri="{FF2B5EF4-FFF2-40B4-BE49-F238E27FC236}">
              <a16:creationId xmlns:a16="http://schemas.microsoft.com/office/drawing/2014/main" id="{6DB77315-D78E-4C8C-B6D1-B5DBF5683C02}"/>
            </a:ext>
          </a:extLst>
        </xdr:cNvPr>
        <xdr:cNvSpPr txBox="1"/>
      </xdr:nvSpPr>
      <xdr:spPr>
        <a:xfrm>
          <a:off x="3324225" y="8677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34</xdr:row>
      <xdr:rowOff>190500</xdr:rowOff>
    </xdr:from>
    <xdr:ext cx="184731" cy="264560"/>
    <xdr:sp macro="" textlink="">
      <xdr:nvSpPr>
        <xdr:cNvPr id="16" name="TextBox 15">
          <a:extLst>
            <a:ext uri="{FF2B5EF4-FFF2-40B4-BE49-F238E27FC236}">
              <a16:creationId xmlns:a16="http://schemas.microsoft.com/office/drawing/2014/main" id="{E85144D8-6A20-48AD-BD45-1960BBE20F9B}"/>
            </a:ext>
          </a:extLst>
        </xdr:cNvPr>
        <xdr:cNvSpPr txBox="1"/>
      </xdr:nvSpPr>
      <xdr:spPr>
        <a:xfrm>
          <a:off x="3324225" y="9772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35</xdr:row>
      <xdr:rowOff>190500</xdr:rowOff>
    </xdr:from>
    <xdr:ext cx="184731" cy="264560"/>
    <xdr:sp macro="" textlink="">
      <xdr:nvSpPr>
        <xdr:cNvPr id="17" name="TextBox 16">
          <a:extLst>
            <a:ext uri="{FF2B5EF4-FFF2-40B4-BE49-F238E27FC236}">
              <a16:creationId xmlns:a16="http://schemas.microsoft.com/office/drawing/2014/main" id="{B547BC79-C496-4AB0-8BD1-85112470A39B}"/>
            </a:ext>
          </a:extLst>
        </xdr:cNvPr>
        <xdr:cNvSpPr txBox="1"/>
      </xdr:nvSpPr>
      <xdr:spPr>
        <a:xfrm>
          <a:off x="3324225"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21</xdr:row>
      <xdr:rowOff>190500</xdr:rowOff>
    </xdr:from>
    <xdr:ext cx="184731" cy="264560"/>
    <xdr:sp macro="" textlink="">
      <xdr:nvSpPr>
        <xdr:cNvPr id="18" name="TextBox 17">
          <a:extLst>
            <a:ext uri="{FF2B5EF4-FFF2-40B4-BE49-F238E27FC236}">
              <a16:creationId xmlns:a16="http://schemas.microsoft.com/office/drawing/2014/main" id="{1981709A-A596-4439-A7B4-C50018A46B8A}"/>
            </a:ext>
          </a:extLst>
        </xdr:cNvPr>
        <xdr:cNvSpPr txBox="1"/>
      </xdr:nvSpPr>
      <xdr:spPr>
        <a:xfrm>
          <a:off x="3324225" y="6924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21</xdr:row>
      <xdr:rowOff>190500</xdr:rowOff>
    </xdr:from>
    <xdr:ext cx="184731" cy="264560"/>
    <xdr:sp macro="" textlink="">
      <xdr:nvSpPr>
        <xdr:cNvPr id="19" name="TextBox 18">
          <a:extLst>
            <a:ext uri="{FF2B5EF4-FFF2-40B4-BE49-F238E27FC236}">
              <a16:creationId xmlns:a16="http://schemas.microsoft.com/office/drawing/2014/main" id="{CE110EB3-B521-438B-9D39-A3AC3F73010B}"/>
            </a:ext>
          </a:extLst>
        </xdr:cNvPr>
        <xdr:cNvSpPr txBox="1"/>
      </xdr:nvSpPr>
      <xdr:spPr>
        <a:xfrm>
          <a:off x="3324225" y="6924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22</xdr:row>
      <xdr:rowOff>190500</xdr:rowOff>
    </xdr:from>
    <xdr:ext cx="184731" cy="264560"/>
    <xdr:sp macro="" textlink="">
      <xdr:nvSpPr>
        <xdr:cNvPr id="20" name="TextBox 19">
          <a:extLst>
            <a:ext uri="{FF2B5EF4-FFF2-40B4-BE49-F238E27FC236}">
              <a16:creationId xmlns:a16="http://schemas.microsoft.com/office/drawing/2014/main" id="{23AC9FFA-856B-4857-9684-0AA52FA6A6AE}"/>
            </a:ext>
          </a:extLst>
        </xdr:cNvPr>
        <xdr:cNvSpPr txBox="1"/>
      </xdr:nvSpPr>
      <xdr:spPr>
        <a:xfrm>
          <a:off x="3324225" y="714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22</xdr:row>
      <xdr:rowOff>190500</xdr:rowOff>
    </xdr:from>
    <xdr:ext cx="184731" cy="264560"/>
    <xdr:sp macro="" textlink="">
      <xdr:nvSpPr>
        <xdr:cNvPr id="21" name="TextBox 20">
          <a:extLst>
            <a:ext uri="{FF2B5EF4-FFF2-40B4-BE49-F238E27FC236}">
              <a16:creationId xmlns:a16="http://schemas.microsoft.com/office/drawing/2014/main" id="{CD4C7C7F-A563-450A-A3E9-2955A887D55A}"/>
            </a:ext>
          </a:extLst>
        </xdr:cNvPr>
        <xdr:cNvSpPr txBox="1"/>
      </xdr:nvSpPr>
      <xdr:spPr>
        <a:xfrm>
          <a:off x="3324225" y="7143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36</xdr:row>
      <xdr:rowOff>190500</xdr:rowOff>
    </xdr:from>
    <xdr:ext cx="184731" cy="264560"/>
    <xdr:sp macro="" textlink="">
      <xdr:nvSpPr>
        <xdr:cNvPr id="22" name="TextBox 21">
          <a:extLst>
            <a:ext uri="{FF2B5EF4-FFF2-40B4-BE49-F238E27FC236}">
              <a16:creationId xmlns:a16="http://schemas.microsoft.com/office/drawing/2014/main" id="{F7CB0E3A-8473-4350-A113-E8EF09757981}"/>
            </a:ext>
          </a:extLst>
        </xdr:cNvPr>
        <xdr:cNvSpPr txBox="1"/>
      </xdr:nvSpPr>
      <xdr:spPr>
        <a:xfrm>
          <a:off x="3324225" y="1021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26</xdr:row>
      <xdr:rowOff>190500</xdr:rowOff>
    </xdr:from>
    <xdr:ext cx="184731" cy="264560"/>
    <xdr:sp macro="" textlink="">
      <xdr:nvSpPr>
        <xdr:cNvPr id="23" name="TextBox 22">
          <a:extLst>
            <a:ext uri="{FF2B5EF4-FFF2-40B4-BE49-F238E27FC236}">
              <a16:creationId xmlns:a16="http://schemas.microsoft.com/office/drawing/2014/main" id="{FF8DA82F-6531-4D62-9FD7-CEBF02EFB932}"/>
            </a:ext>
          </a:extLst>
        </xdr:cNvPr>
        <xdr:cNvSpPr txBox="1"/>
      </xdr:nvSpPr>
      <xdr:spPr>
        <a:xfrm>
          <a:off x="3324225" y="8020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27</xdr:row>
      <xdr:rowOff>190500</xdr:rowOff>
    </xdr:from>
    <xdr:ext cx="184731" cy="264560"/>
    <xdr:sp macro="" textlink="">
      <xdr:nvSpPr>
        <xdr:cNvPr id="24" name="TextBox 23">
          <a:extLst>
            <a:ext uri="{FF2B5EF4-FFF2-40B4-BE49-F238E27FC236}">
              <a16:creationId xmlns:a16="http://schemas.microsoft.com/office/drawing/2014/main" id="{72E93F89-F7C1-4188-9C90-41DF0F2A12E9}"/>
            </a:ext>
          </a:extLst>
        </xdr:cNvPr>
        <xdr:cNvSpPr txBox="1"/>
      </xdr:nvSpPr>
      <xdr:spPr>
        <a:xfrm>
          <a:off x="3324225" y="8239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28</xdr:row>
      <xdr:rowOff>190500</xdr:rowOff>
    </xdr:from>
    <xdr:ext cx="184731" cy="264560"/>
    <xdr:sp macro="" textlink="">
      <xdr:nvSpPr>
        <xdr:cNvPr id="25" name="TextBox 24">
          <a:extLst>
            <a:ext uri="{FF2B5EF4-FFF2-40B4-BE49-F238E27FC236}">
              <a16:creationId xmlns:a16="http://schemas.microsoft.com/office/drawing/2014/main" id="{0C565BED-DB5D-4957-A500-47C2A2D2B2B0}"/>
            </a:ext>
          </a:extLst>
        </xdr:cNvPr>
        <xdr:cNvSpPr txBox="1"/>
      </xdr:nvSpPr>
      <xdr:spPr>
        <a:xfrm>
          <a:off x="3324225" y="8458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29</xdr:row>
      <xdr:rowOff>190500</xdr:rowOff>
    </xdr:from>
    <xdr:ext cx="184731" cy="264560"/>
    <xdr:sp macro="" textlink="">
      <xdr:nvSpPr>
        <xdr:cNvPr id="26" name="TextBox 25">
          <a:extLst>
            <a:ext uri="{FF2B5EF4-FFF2-40B4-BE49-F238E27FC236}">
              <a16:creationId xmlns:a16="http://schemas.microsoft.com/office/drawing/2014/main" id="{C21E2A57-C564-4B1C-A6FB-22FEC73A4C7D}"/>
            </a:ext>
          </a:extLst>
        </xdr:cNvPr>
        <xdr:cNvSpPr txBox="1"/>
      </xdr:nvSpPr>
      <xdr:spPr>
        <a:xfrm>
          <a:off x="3324225" y="8677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35</xdr:row>
      <xdr:rowOff>190500</xdr:rowOff>
    </xdr:from>
    <xdr:ext cx="184731" cy="264560"/>
    <xdr:sp macro="" textlink="">
      <xdr:nvSpPr>
        <xdr:cNvPr id="27" name="TextBox 26">
          <a:extLst>
            <a:ext uri="{FF2B5EF4-FFF2-40B4-BE49-F238E27FC236}">
              <a16:creationId xmlns:a16="http://schemas.microsoft.com/office/drawing/2014/main" id="{802B4C6B-11D1-464C-B63A-F84F22D893BD}"/>
            </a:ext>
          </a:extLst>
        </xdr:cNvPr>
        <xdr:cNvSpPr txBox="1"/>
      </xdr:nvSpPr>
      <xdr:spPr>
        <a:xfrm>
          <a:off x="3324225" y="9991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0</xdr:colOff>
      <xdr:row>36</xdr:row>
      <xdr:rowOff>190500</xdr:rowOff>
    </xdr:from>
    <xdr:ext cx="184731" cy="264560"/>
    <xdr:sp macro="" textlink="">
      <xdr:nvSpPr>
        <xdr:cNvPr id="28" name="TextBox 27">
          <a:extLst>
            <a:ext uri="{FF2B5EF4-FFF2-40B4-BE49-F238E27FC236}">
              <a16:creationId xmlns:a16="http://schemas.microsoft.com/office/drawing/2014/main" id="{E46AAB83-76D4-40C6-9783-B72FE5EFD539}"/>
            </a:ext>
          </a:extLst>
        </xdr:cNvPr>
        <xdr:cNvSpPr txBox="1"/>
      </xdr:nvSpPr>
      <xdr:spPr>
        <a:xfrm>
          <a:off x="3324225" y="1021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person displayName="Adler, Camille" id="{5889C68F-9E9B-403A-8865-558C770B19C1}" userId="Camille.Adler@ocpw.ocgov.com" providerId="PeoplePicker"/>
  <person displayName="Kelly, Kathleen" id="{79D9F134-3EB6-4B97-A3BA-01D18AA1883E}" userId="Kathleen.Kelly@ocpw.ocgov.com" providerId="PeoplePicker"/>
  <person displayName="Given, Suzan" id="{A2706332-9452-41A8-A4F8-FC6D3107D59B}" userId="S::Suzan.Given@ocpw.ocgov.com::dacfa013-e500-4b44-b4c8-b9fc7d2ec9e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9526CA-0A38-45FE-A30D-4F8A26AD5987}" name="Table3" displayName="Table3" ref="A2:DQ179" totalsRowShown="0" headerRowDxfId="123" dataDxfId="122" tableBorderDxfId="121">
  <autoFilter ref="A2:DQ179" xr:uid="{ECB10AD5-BA86-4AFF-B73B-49D205358F0D}">
    <filterColumn colId="4">
      <filters>
        <filter val="Total"/>
      </filters>
    </filterColumn>
  </autoFilter>
  <sortState xmlns:xlrd2="http://schemas.microsoft.com/office/spreadsheetml/2017/richdata2" ref="A3:DL90">
    <sortCondition descending="1" ref="E3"/>
  </sortState>
  <tableColumns count="121">
    <tableColumn id="1" xr3:uid="{6B36FC3A-F851-4084-8F42-0712F4E47854}" name="Station" dataDxfId="120"/>
    <tableColumn id="112" xr3:uid="{51FADD96-116F-4761-B224-778247701612}" name="Column1" dataDxfId="119">
      <calculatedColumnFormula>VLOOKUP(Table3[[#This Row],[Station]], StationName, 2, FALSE)</calculatedColumnFormula>
    </tableColumn>
    <tableColumn id="118" xr3:uid="{1ACEAC8E-52B0-4DF9-ABBD-F5EBE0E82225}" name="Sample ID" dataDxfId="118"/>
    <tableColumn id="2" xr3:uid="{073D8C14-1A41-44C9-9650-E365E3D7546D}" name="Collect Date" dataDxfId="117"/>
    <tableColumn id="4" xr3:uid="{9034E2FE-950E-41D7-9A85-58B6D5C5DC46}" name="Sample Type" dataDxfId="116"/>
    <tableColumn id="5" xr3:uid="{8732E996-7EE8-40C6-B100-431710FC26C7}" name="d10-Acenaphthene - ng/L" dataDxfId="115"/>
    <tableColumn id="6" xr3:uid="{ABFC2742-3B2B-47E6-A856-D98A50BC9608}" name="d10-Phenanthrene - ng/L" dataDxfId="114"/>
    <tableColumn id="7" xr3:uid="{447ED4D9-2D78-4434-918F-7998570812B6}" name="d12-Chrysene - ng/L" dataDxfId="113"/>
    <tableColumn id="8" xr3:uid="{F2491EFD-ABD8-41D5-A07F-373F6017CF13}" name="d12-Perylene - ng/L" dataDxfId="112"/>
    <tableColumn id="9" xr3:uid="{44BCA2A4-C03B-4C14-BFB5-DBF6382B2026}" name="d8-Naphthalene - ng/L" dataDxfId="111"/>
    <tableColumn id="10" xr3:uid="{A87D9F68-9E8D-40F6-A0C1-54ECE423A4D6}" name="PCB030 - ng/L" dataDxfId="110"/>
    <tableColumn id="11" xr3:uid="{4F353B9B-1AA8-469F-A9EF-43A2AB0DC5E4}" name="PCB112 - ng/L" dataDxfId="109"/>
    <tableColumn id="12" xr3:uid="{A374238D-294A-4BBD-9CB1-912B16B7696A}" name="PCB198 - ng/L" dataDxfId="108"/>
    <tableColumn id="13" xr3:uid="{72066190-C929-4D31-864B-20E530F052D5}" name="TCMX - ng/L" dataDxfId="107"/>
    <tableColumn id="14" xr3:uid="{F76D3B29-EEA2-47EF-9A0C-747D118EA45F}" name="2,4'-DDD - ng/L" dataDxfId="106"/>
    <tableColumn id="15" xr3:uid="{FB836988-697C-431D-B098-A2CB85C54501}" name="2,4'-DDE - ng/L" dataDxfId="105"/>
    <tableColumn id="16" xr3:uid="{65CD4C4B-8468-40CE-AFDC-0DD3BC9382C7}" name="2,4'-DDT - ng/L" dataDxfId="104"/>
    <tableColumn id="17" xr3:uid="{70D5B232-DF47-4DF0-8B12-A1AFF1CE1559}" name="4,4'-DDD - ng/L" dataDxfId="103"/>
    <tableColumn id="18" xr3:uid="{257D47C2-0789-4A1C-9CBA-31457BF9C48C}" name="4,4'-DDE - ng/L" dataDxfId="102"/>
    <tableColumn id="19" xr3:uid="{FEC1E74E-F94D-4568-B91F-24C30156578A}" name="4,4'-DDT - ng/L" dataDxfId="101"/>
    <tableColumn id="20" xr3:uid="{C3F19188-0E73-45F7-9734-D579BAD5AE96}" name="Acenaphthene - ng/L" dataDxfId="100"/>
    <tableColumn id="21" xr3:uid="{0D26D9E5-F831-4089-826D-B5A3C8B351E2}" name="Acenaphthylene - ng/L" dataDxfId="99"/>
    <tableColumn id="22" xr3:uid="{AF84BDC0-8010-46DF-908B-ED3F8BE0D8E8}" name="Aldrin - ng/L" dataDxfId="98"/>
    <tableColumn id="23" xr3:uid="{DF2C2053-1F49-497F-9721-ADFF09F88B15}" name="Anthracene - ng/L" dataDxfId="97"/>
    <tableColumn id="24" xr3:uid="{75D964D6-2BCF-410F-A3B8-DA33649106CC}" name="Azinphos Methyl - ng/L" dataDxfId="96"/>
    <tableColumn id="25" xr3:uid="{26860508-7E0D-495D-9B70-A4E9AD92D5FB}" name="Benz[a]anthracene - ng/L" dataDxfId="95"/>
    <tableColumn id="26" xr3:uid="{31CEB3EA-712A-42EF-AC5B-EF8599CBC8E3}" name="Benzo[a]pyrene - ng/L" dataDxfId="94"/>
    <tableColumn id="27" xr3:uid="{9C450AC4-5FAC-4BA7-B744-7AE2263760F2}" name="Benzo[b]fluoranthene - ng/L" dataDxfId="93"/>
    <tableColumn id="28" xr3:uid="{B9D23CA2-CC87-4E4F-94D5-8CFD841B8349}" name="Benzo[g,h,i]perylene - ng/L" dataDxfId="92"/>
    <tableColumn id="29" xr3:uid="{27A530BE-63ED-4118-996B-77C8C722A48E}" name="Benzo[k]fluoranthene - ng/L" dataDxfId="91"/>
    <tableColumn id="30" xr3:uid="{912A9DBF-18F4-4A72-AC9F-63C8FC028613}" name="BHC-alpha - ng/L" dataDxfId="90"/>
    <tableColumn id="31" xr3:uid="{2E2ECF17-B36B-488D-B7AA-D80D291F09E8}" name="BHC-beta - ng/L" dataDxfId="89"/>
    <tableColumn id="32" xr3:uid="{4CF75341-9A82-4E58-9152-83DB232C27F1}" name="BHC-delta - ng/L" dataDxfId="88"/>
    <tableColumn id="33" xr3:uid="{9D38A20B-29EB-405F-8CFD-47647B0DAC31}" name="BHC-gamma - ng/L" dataDxfId="87"/>
    <tableColumn id="34" xr3:uid="{A58B4754-D919-48E8-93BD-81081690C967}" name="Biphenyl - ng/L" dataDxfId="86"/>
    <tableColumn id="35" xr3:uid="{A68D3080-A21D-4054-8B16-4B6182B98EC0}" name="Bolstar (Sulprofos) - ng/L" dataDxfId="85"/>
    <tableColumn id="36" xr3:uid="{8FBAEDB4-7D94-4901-A33A-BFD82FC25912}" name="Chlordane-alpha - ng/L" dataDxfId="84"/>
    <tableColumn id="37" xr3:uid="{9AF742E5-2478-4FD6-A551-913B0D308D2F}" name="Chlordane-gamma - ng/L" dataDxfId="83"/>
    <tableColumn id="38" xr3:uid="{7488DD33-6F7D-4489-A3C0-A54D90EBD106}" name="Chlorpyrifos - ng/L" dataDxfId="82"/>
    <tableColumn id="39" xr3:uid="{041EBC3F-C890-4633-8BDA-C7AA1CC8A6F3}" name="Chrysene - ng/L" dataDxfId="81"/>
    <tableColumn id="40" xr3:uid="{56C1F6B8-4E5E-41F4-9783-7199D3A610CC}" name="Demeton - ng/L" dataDxfId="80"/>
    <tableColumn id="41" xr3:uid="{82D65ECE-A57F-4D9E-A179-3BD21703BE59}" name="Diazinon - ng/L" dataDxfId="79"/>
    <tableColumn id="42" xr3:uid="{DAE30C6C-192A-4832-AB90-E2317DFF129C}" name="Dibenz[a,h]anthracene - ng/L" dataDxfId="78"/>
    <tableColumn id="43" xr3:uid="{B55E00C8-9256-4FE6-8344-883A0DDA3C24}" name="Dibenzothiophene - ng/L" dataDxfId="77"/>
    <tableColumn id="44" xr3:uid="{A7C7A897-A06A-45D7-87EB-12A552CC58F5}" name="Dichlorvos - ng/L" dataDxfId="76"/>
    <tableColumn id="45" xr3:uid="{2F54F15A-A95C-4B5F-9957-6AFF974A1A15}" name="Dieldrin - ng/L" dataDxfId="75"/>
    <tableColumn id="46" xr3:uid="{11DF6EC5-96FD-43CA-A215-3A2FCC7B130D}" name="Dimethoate - ng/L" dataDxfId="74"/>
    <tableColumn id="47" xr3:uid="{155373A7-A658-4969-A3BB-EEA0002860EC}" name="Disulfoton - ng/L" dataDxfId="73"/>
    <tableColumn id="48" xr3:uid="{2114D208-BDE6-4FBA-B115-B24695FFE280}" name="Endosulfan-I - ng/L" dataDxfId="72"/>
    <tableColumn id="49" xr3:uid="{D6A70C72-9ADE-4CA0-82AD-2C39BD05E47A}" name="Endosulfan-II - ng/L" dataDxfId="71"/>
    <tableColumn id="50" xr3:uid="{6A02A1BA-7C72-42B3-A0B4-1431F759825C}" name="Endosulfan Sulfate - ng/L" dataDxfId="70"/>
    <tableColumn id="51" xr3:uid="{81EA5849-4A5B-4875-8170-0BC7396419BA}" name="Endrin - ng/L" dataDxfId="69"/>
    <tableColumn id="52" xr3:uid="{5A0ADDC5-4583-466C-8BBA-E42762C60416}" name="Endrin Aldehyde - ng/L" dataDxfId="68"/>
    <tableColumn id="53" xr3:uid="{B2D84935-0BF2-4E8C-AC63-EAB8E0547FAC}" name="Ethoprop (Ethoprofos) - ng/L" dataDxfId="67"/>
    <tableColumn id="54" xr3:uid="{364C0E91-9651-4FA4-9CB1-D11F496768B4}" name="Ethyl Parathion - ng/L" dataDxfId="66"/>
    <tableColumn id="55" xr3:uid="{FE38E18C-3936-47D5-9222-288623E63178}" name="Fenchlorphos (Ronnel) - ng/L" dataDxfId="65"/>
    <tableColumn id="56" xr3:uid="{FAC20977-4442-4344-AC12-E4BED1A00F8D}" name="Fensulfothion - ng/L" dataDxfId="64"/>
    <tableColumn id="57" xr3:uid="{5B550847-4758-4353-9490-A2F95960D4D5}" name="Fenthion - ng/L" dataDxfId="63"/>
    <tableColumn id="58" xr3:uid="{821EE00F-ECFD-4F19-A04F-F08A885C1DDC}" name="Fluoranthene - ng/L" dataDxfId="62"/>
    <tableColumn id="59" xr3:uid="{C6CFB748-2133-4F17-8584-66CC84F42D19}" name="Fluorene - ng/L" dataDxfId="61"/>
    <tableColumn id="60" xr3:uid="{A32D3F09-5678-4895-A941-7D5DB7477A6D}" name="Heptachlor - ng/L" dataDxfId="60"/>
    <tableColumn id="61" xr3:uid="{9B5CB1E6-F410-4C37-8CB9-4055F5062719}" name="Heptachlor Epoxide - ng/L" dataDxfId="59"/>
    <tableColumn id="62" xr3:uid="{DF837466-3819-4B2A-9862-DC44E2405BDC}" name="Indeno[1,2,3-cd]pyrene - ng/L" dataDxfId="58"/>
    <tableColumn id="63" xr3:uid="{01335201-D0FE-4B7B-B80F-A9F4BDAF5D14}" name="Malathion - ng/L" dataDxfId="57"/>
    <tableColumn id="64" xr3:uid="{B68EFC15-45E9-4EA3-B328-03594156F49C}" name="Merphos - ng/L" dataDxfId="56"/>
    <tableColumn id="65" xr3:uid="{78A1FE9A-66BB-4EA8-ADA5-B3B9C2344719}" name="Methoxychlor - ng/L" dataDxfId="55"/>
    <tableColumn id="66" xr3:uid="{AC601924-866C-4128-8EBC-B5CA4C105083}" name="Methyl Parathion - ng/L" dataDxfId="54"/>
    <tableColumn id="67" xr3:uid="{BC430C1A-E794-4F32-92DA-24BC9FB66A4F}" name="Mevinphos (Phosdrin) - ng/L" dataDxfId="53"/>
    <tableColumn id="68" xr3:uid="{6681D4BE-CB07-4D99-8F30-EF09D40A78C3}" name="Mirex - ng/L" dataDxfId="52"/>
    <tableColumn id="69" xr3:uid="{24962475-A968-4A30-BE82-635FC4556D99}" name="Naphthalene - ng/L" dataDxfId="51"/>
    <tableColumn id="70" xr3:uid="{9DD20762-2B8B-4803-AFE2-335A5B417827}" name="Phenanthrene - ng/L" dataDxfId="50"/>
    <tableColumn id="71" xr3:uid="{17DE4719-714B-4329-ABBB-4227CF076D1F}" name="Phorate - ng/L" dataDxfId="49"/>
    <tableColumn id="72" xr3:uid="{3013D8F6-81DA-4383-987C-8006F75E0F94}" name="Pyrene - ng/L" dataDxfId="48"/>
    <tableColumn id="73" xr3:uid="{4C6A6274-DBFA-4256-AC96-1A6D2580C141}" name="Tetrachlorvinphos (Stirofos) - ng/L" dataDxfId="47"/>
    <tableColumn id="74" xr3:uid="{FC6CFC7B-D739-4C46-81EF-C105043E53A2}" name="Tokuthion (Prothiofos) - ng/L" dataDxfId="46"/>
    <tableColumn id="75" xr3:uid="{B52F5E9A-A218-4F0B-A00E-5232ECB02F97}" name="Toxaphene - ng/L" dataDxfId="45"/>
    <tableColumn id="76" xr3:uid="{4209382F-4F2E-4CB7-B544-11232233084A}" name="trans-Nonachlor - ng/L" dataDxfId="44"/>
    <tableColumn id="77" xr3:uid="{9CD5AAC1-7BF7-4ACC-9DF7-982666104643}" name="Trichloronate - ng/L" dataDxfId="43"/>
    <tableColumn id="78" xr3:uid="{805B260D-80CD-4946-B746-AB489E560256}" name="Arsenic, Total - ug/L" dataDxfId="42"/>
    <tableColumn id="79" xr3:uid="{AAFA5F01-16D3-49B6-B2DE-C55EEDFC01AA}" name="Cadmium, Total - ug/L" dataDxfId="41"/>
    <tableColumn id="80" xr3:uid="{B39122EB-06C1-416D-BAC7-D7918B38C4BB}" name="Calcium, Total - ug/L" dataDxfId="40"/>
    <tableColumn id="81" xr3:uid="{FCC04B44-2ACB-4D85-913C-88DD217E9B6D}" name="Chromium 6+ - ug/L" dataDxfId="39"/>
    <tableColumn id="82" xr3:uid="{D0F0B625-8888-486B-B135-BC3739685A14}" name="Chromium, Total - ug/L" dataDxfId="38"/>
    <tableColumn id="83" xr3:uid="{762D2BFE-71C0-4810-9C02-8519D9586776}" name="Copper, Total - ug/L" dataDxfId="37"/>
    <tableColumn id="84" xr3:uid="{B3EEE07E-4D24-445E-857B-F3B18BC93036}" name="Dissolved Organic Carbon - ug/L" dataDxfId="36"/>
    <tableColumn id="85" xr3:uid="{CA4F3997-D603-4E0B-ACD9-CBD0CDA91192}" name="Hardness as CaCO3, Total - ug/L" dataDxfId="35"/>
    <tableColumn id="86" xr3:uid="{3F98211E-DCBC-4DC6-91F7-628930A9F550}" name="Iron, Total - ug/L" dataDxfId="34"/>
    <tableColumn id="87" xr3:uid="{D6284A79-5D65-4638-A647-E589ACB83045}" name="Lead, Total - ug/L" dataDxfId="33"/>
    <tableColumn id="88" xr3:uid="{AD2979CC-943C-4D97-9FF3-A262C2D94D4C}" name="Magnesium, Total - ug/L" dataDxfId="32"/>
    <tableColumn id="89" xr3:uid="{B7C45DFD-D576-4B6C-92EE-F779F1C55B98}" name="Manganese, Total - ug/L" dataDxfId="31"/>
    <tableColumn id="90" xr3:uid="{DFFA0E77-8138-4752-8740-9910070A84A0}" name="MBAS - mg/L" dataDxfId="30"/>
    <tableColumn id="91" xr3:uid="{8F4370BD-FA42-470B-9838-66BE49412B9A}" name="Mercury, Total - ug/L" dataDxfId="29"/>
    <tableColumn id="92" xr3:uid="{405130E3-4F67-480C-B4F5-21D8A944FA9B}" name="Nickel, Total - ug/L" dataDxfId="28"/>
    <tableColumn id="93" xr3:uid="{A4C91285-7818-4BA4-9728-E7A88FCCC9F3}" name="Selenium, Total - ug/L" dataDxfId="27"/>
    <tableColumn id="94" xr3:uid="{2331DFBF-3DC0-48FB-9D46-78E2518E1B5F}" name="Silver, Total - ug/L" dataDxfId="26"/>
    <tableColumn id="95" xr3:uid="{BD04BFBC-AE0D-441F-B494-14B67C2CFC32}" name="Thallium, Total - ug/L" dataDxfId="25"/>
    <tableColumn id="96" xr3:uid="{EF1A54C0-E021-45C8-B34A-8D275351EBE2}" name="Total Organic Carbon (TOC) - mg/L" dataDxfId="24"/>
    <tableColumn id="97" xr3:uid="{033DFC83-7C02-4635-93F1-EE8E9F042982}" name="Zinc, Total - ug/L" dataDxfId="23"/>
    <tableColumn id="98" xr3:uid="{E73F92A0-483A-4150-8111-51335743202C}" name="Ammonia, as Nitrogen - mg/L" dataDxfId="22"/>
    <tableColumn id="99" xr3:uid="{027A4543-339C-4CE8-B328-DB5DD390EE18}" name="Chloride - mg/L" dataDxfId="21"/>
    <tableColumn id="100" xr3:uid="{B9D312A9-5314-482B-BCAF-9E4D62654E1F}" name="Nitrate + Nitrite as N - mg/L" dataDxfId="20"/>
    <tableColumn id="101" xr3:uid="{B9ABB87B-1E1C-41A0-925A-7642F11EAF1A}" name="Nitrogen, Total Kjeldahl - mg/L" dataDxfId="19"/>
    <tableColumn id="102" xr3:uid="{952453F5-5422-40EA-AA40-7A32899B4F0D}" name="Orthophosphate as P - mg/L" dataDxfId="18"/>
    <tableColumn id="103" xr3:uid="{D323DDEC-718A-4283-84AA-FD3CED4FE0B7}" name="pH" dataDxfId="17"/>
    <tableColumn id="104" xr3:uid="{A8C85F24-340E-43BA-B20B-B2E20191B713}" name="Phosphorus as PO4 - mg/L" dataDxfId="16"/>
    <tableColumn id="105" xr3:uid="{3A4E66D3-9080-4C41-98FA-A70766AD3356}" name="SpecificConductivity" dataDxfId="15"/>
    <tableColumn id="106" xr3:uid="{7AD79A10-0D9C-475B-A73F-F7FE26018470}" name="Sulfate - mg/L" dataDxfId="14"/>
    <tableColumn id="107" xr3:uid="{DF9FD6B5-4D97-4A70-863E-67E651D12F6F}" name="Temperature" dataDxfId="13"/>
    <tableColumn id="108" xr3:uid="{C85EF975-B2C9-4F42-87CD-27852595E698}" name="Total Dissolved Solids - mg/L" dataDxfId="12"/>
    <tableColumn id="109" xr3:uid="{38E8DFA1-569D-42AE-916D-9736696148C2}" name="VSS - mg/L" dataDxfId="11"/>
    <tableColumn id="110" xr3:uid="{AA5A262B-7033-4FB5-9552-705CCA015FCE}" name="TSS - mg/L" dataDxfId="10"/>
    <tableColumn id="111" xr3:uid="{C79A6C84-81E6-4636-8EC5-2786593A8192}" name="Turbidity - NTU" dataDxfId="9"/>
    <tableColumn id="123" xr3:uid="{1A46B6B0-985E-4979-AF26-EA7B758C8FD4}" name="E. coli - CFU/100 mL" dataDxfId="8"/>
    <tableColumn id="121" xr3:uid="{EE11DC55-DA76-4A90-8066-FCFFEE7F59CA}" name="Enterococcus - CFU/100 mL" dataDxfId="7"/>
    <tableColumn id="124" xr3:uid="{CF7AC915-15AC-438C-B49A-D6DE3E6714E2}" name="Fecal coliforms - CFU/100 mL" dataDxfId="6"/>
    <tableColumn id="125" xr3:uid="{6E55D175-2F7D-4200-9154-3186C652E5D4}" name="Total Coliforms - CFU/100 mL" dataDxfId="5"/>
    <tableColumn id="113" xr3:uid="{345B16B8-402E-4B3F-A413-DD52020C781B}" name="Field Dissolved Oxygen" dataDxfId="4"/>
    <tableColumn id="114" xr3:uid="{45BD2021-00C5-4EE9-BDAE-A0D39258745F}" name="Field pH" dataDxfId="3"/>
    <tableColumn id="115" xr3:uid="{423271B4-43B1-4E56-ADF5-66A6921CB71E}" name="Field Specific Conductivity" dataDxfId="2"/>
    <tableColumn id="116" xr3:uid="{56CCB885-A288-4D7C-ACCD-3C49819BB961}" name="Field Temperature" dataDxfId="1"/>
    <tableColumn id="117" xr3:uid="{EE229C16-0BB9-4A26-94B6-2C87FA2C1A2C}" name="Field Turbidity - NTU"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2" dT="2021-12-03T00:46:03.10" personId="{A2706332-9452-41A8-A4F8-FC6D3107D59B}" id="{E204D4E3-74B5-43AE-87CE-9B4C6D944860}">
    <text>@Adler, Camille @Kelly, Kathleen Nickel and Cadmium are very high.  Could we please double check the lab results?  Thanks!</text>
    <mentions>
      <mention mentionpersonId="{5889C68F-9E9B-403A-8865-558C770B19C1}" mentionId="{0EA03A0F-6388-4E8F-8551-EFCA0E53A472}" startIndex="0" length="15"/>
      <mention mentionpersonId="{79D9F134-3EB6-4B97-A3BA-01D18AA1883E}" mentionId="{75DBEAC3-629E-4BE5-8C97-F4EA094A04E8}" startIndex="16" length="16"/>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D4" dT="2021-12-02T18:49:27.99" personId="{A2706332-9452-41A8-A4F8-FC6D3107D59B}" id="{65DD0DA7-A9E5-4C73-9F94-A4D0DC4A66B6}">
    <text>@Kelly, Kathleen @Adler, Camille is it possible the Total Chromium and Chromium VI results got switched for the highlighted samples? Those samples have Total Chromium &lt; Chromium 6, and we would expect the opposite.  Thanks!</text>
    <mentions>
      <mention mentionpersonId="{79D9F134-3EB6-4B97-A3BA-01D18AA1883E}" mentionId="{9884CEFB-1A86-4C55-B282-CFF1FAA5B3EC}" startIndex="0" length="16"/>
      <mention mentionpersonId="{5889C68F-9E9B-403A-8865-558C770B19C1}" mentionId="{10D6E232-3B02-4CCC-8525-64BC0830AC62}" startIndex="17" length="15"/>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govt.westlaw.com/calregs/Document/I2810C4E12DCC4B40A165E23D1B6C6F0D?viewType=FullText&amp;originationContext=documenttoc&amp;transitionType=CategoryPageItem&amp;contextData=(sc.Default)" TargetMode="Externa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aterboards.ca.gov/water_issues/programs/tmdl/integrated2014_2016.shtm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govt.westlaw.com/calregs/Document/I2810C4E12DCC4B40A165E23D1B6C6F0D?viewType=FullText&amp;originationContext=documenttoc&amp;transitionType=CategoryPageItem&amp;contextData=(sc.Default)"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R37"/>
  <sheetViews>
    <sheetView workbookViewId="0"/>
  </sheetViews>
  <sheetFormatPr defaultRowHeight="15" x14ac:dyDescent="0.25"/>
  <cols>
    <col min="2" max="2" width="16.42578125" customWidth="1"/>
    <col min="3" max="3" width="13.5703125" customWidth="1"/>
    <col min="4" max="4" width="13.140625" customWidth="1"/>
    <col min="5" max="5" width="17.140625" customWidth="1"/>
    <col min="7" max="7" width="16.140625" customWidth="1"/>
    <col min="8" max="8" width="34.5703125" customWidth="1"/>
    <col min="12" max="12" width="38.42578125" customWidth="1"/>
    <col min="13" max="13" width="9.140625" style="371"/>
  </cols>
  <sheetData>
    <row r="1" spans="2:16" x14ac:dyDescent="0.25">
      <c r="B1" s="239" t="s">
        <v>0</v>
      </c>
      <c r="C1" s="239"/>
      <c r="D1" s="239"/>
      <c r="E1" s="239"/>
      <c r="F1" s="239"/>
      <c r="G1" s="239"/>
      <c r="H1" s="239"/>
      <c r="I1" s="239"/>
      <c r="J1" s="239"/>
      <c r="K1" s="239"/>
      <c r="L1" s="239"/>
      <c r="M1" s="371">
        <v>52</v>
      </c>
      <c r="N1" s="239"/>
      <c r="O1" s="239">
        <v>4</v>
      </c>
      <c r="P1" s="239">
        <f>M1-O1</f>
        <v>48</v>
      </c>
    </row>
    <row r="3" spans="2:16" ht="30" x14ac:dyDescent="0.25">
      <c r="B3" s="27" t="s">
        <v>1</v>
      </c>
      <c r="C3" s="28" t="s">
        <v>2</v>
      </c>
      <c r="D3" s="28" t="s">
        <v>3</v>
      </c>
      <c r="E3" s="29" t="s">
        <v>4</v>
      </c>
      <c r="F3" s="28" t="s">
        <v>5</v>
      </c>
      <c r="G3" s="29" t="s">
        <v>6</v>
      </c>
      <c r="H3" s="30" t="s">
        <v>7</v>
      </c>
      <c r="I3" s="239"/>
      <c r="J3" s="239"/>
      <c r="K3" s="239"/>
      <c r="L3" s="239"/>
      <c r="N3" s="239"/>
      <c r="O3" s="239"/>
      <c r="P3" s="239"/>
    </row>
    <row r="4" spans="2:16" x14ac:dyDescent="0.25">
      <c r="B4" s="31" t="s">
        <v>8</v>
      </c>
      <c r="C4" s="32" t="s">
        <v>9</v>
      </c>
      <c r="D4" s="375" t="s">
        <v>10</v>
      </c>
      <c r="E4" s="375"/>
      <c r="F4" s="372" t="s">
        <v>11</v>
      </c>
      <c r="G4" s="39">
        <v>0</v>
      </c>
      <c r="H4" s="34"/>
      <c r="I4" s="239"/>
      <c r="J4" s="239"/>
      <c r="K4" s="239"/>
      <c r="L4" s="239"/>
      <c r="M4" s="371">
        <f>100*(G4/$P$1)</f>
        <v>0</v>
      </c>
      <c r="N4" s="239"/>
      <c r="O4" s="239"/>
      <c r="P4" s="239"/>
    </row>
    <row r="5" spans="2:16" x14ac:dyDescent="0.25">
      <c r="B5" s="31" t="s">
        <v>12</v>
      </c>
      <c r="C5" s="32" t="s">
        <v>13</v>
      </c>
      <c r="D5" s="32">
        <v>20</v>
      </c>
      <c r="E5" s="32" t="s">
        <v>14</v>
      </c>
      <c r="F5" s="372"/>
      <c r="G5" s="39">
        <v>1</v>
      </c>
      <c r="H5" s="34"/>
      <c r="I5" s="239"/>
      <c r="J5" s="239"/>
      <c r="K5" s="239"/>
      <c r="L5" s="239"/>
      <c r="M5" s="371">
        <f t="shared" ref="M5:M22" si="0">100*(G5/$P$1)</f>
        <v>2.083333333333333</v>
      </c>
      <c r="N5" s="239"/>
      <c r="O5" s="239"/>
      <c r="P5" s="239"/>
    </row>
    <row r="6" spans="2:16" x14ac:dyDescent="0.25">
      <c r="B6" s="31" t="s">
        <v>15</v>
      </c>
      <c r="C6" s="32"/>
      <c r="D6" s="376"/>
      <c r="E6" s="376"/>
      <c r="F6" s="372"/>
      <c r="G6" s="35">
        <v>2</v>
      </c>
      <c r="H6" s="34"/>
      <c r="I6" s="239"/>
      <c r="J6" s="239"/>
      <c r="K6" s="239"/>
      <c r="L6" s="239"/>
      <c r="M6" s="371">
        <f t="shared" si="0"/>
        <v>4.1666666666666661</v>
      </c>
      <c r="N6" s="239"/>
      <c r="O6" s="239"/>
      <c r="P6" s="239"/>
    </row>
    <row r="7" spans="2:16" ht="17.25" x14ac:dyDescent="0.25">
      <c r="B7" s="31" t="s">
        <v>16</v>
      </c>
      <c r="C7" s="32" t="s">
        <v>17</v>
      </c>
      <c r="D7" s="32" t="s">
        <v>18</v>
      </c>
      <c r="E7" s="32" t="s">
        <v>19</v>
      </c>
      <c r="F7" s="372"/>
      <c r="G7" s="36">
        <v>25</v>
      </c>
      <c r="H7" s="34"/>
      <c r="I7" s="239"/>
      <c r="J7" s="239"/>
      <c r="K7" s="239"/>
      <c r="L7" s="239"/>
      <c r="M7" s="371">
        <f t="shared" si="0"/>
        <v>52.083333333333336</v>
      </c>
      <c r="N7" s="239"/>
      <c r="O7" s="239"/>
      <c r="P7" s="239"/>
    </row>
    <row r="8" spans="2:16" ht="17.25" x14ac:dyDescent="0.25">
      <c r="B8" s="31" t="s">
        <v>20</v>
      </c>
      <c r="C8" s="32" t="s">
        <v>17</v>
      </c>
      <c r="D8" s="32"/>
      <c r="E8" s="32" t="s">
        <v>21</v>
      </c>
      <c r="F8" s="372"/>
      <c r="G8" s="359">
        <v>20</v>
      </c>
      <c r="H8" s="358" t="s">
        <v>22</v>
      </c>
      <c r="I8" s="239"/>
      <c r="J8" s="239"/>
      <c r="K8" s="239"/>
      <c r="L8" s="239"/>
      <c r="M8" s="371">
        <f t="shared" si="0"/>
        <v>41.666666666666671</v>
      </c>
      <c r="N8" s="239"/>
      <c r="O8" s="239"/>
      <c r="P8" s="239"/>
    </row>
    <row r="9" spans="2:16" x14ac:dyDescent="0.25">
      <c r="B9" s="31" t="s">
        <v>23</v>
      </c>
      <c r="C9" s="32" t="s">
        <v>9</v>
      </c>
      <c r="D9" s="37">
        <v>1</v>
      </c>
      <c r="E9" s="32" t="s">
        <v>14</v>
      </c>
      <c r="F9" s="372"/>
      <c r="G9" s="36">
        <v>37</v>
      </c>
      <c r="H9" s="34"/>
      <c r="I9" s="239"/>
      <c r="J9" s="239"/>
      <c r="K9" s="239"/>
      <c r="L9" s="239"/>
      <c r="M9" s="371">
        <f t="shared" si="0"/>
        <v>77.083333333333343</v>
      </c>
      <c r="N9" s="239"/>
      <c r="O9" s="239"/>
      <c r="P9" s="239"/>
    </row>
    <row r="10" spans="2:16" x14ac:dyDescent="0.25">
      <c r="B10" s="31" t="s">
        <v>24</v>
      </c>
      <c r="C10" s="32" t="s">
        <v>9</v>
      </c>
      <c r="D10" s="32">
        <v>0.1</v>
      </c>
      <c r="E10" s="32" t="s">
        <v>14</v>
      </c>
      <c r="F10" s="372"/>
      <c r="G10" s="36">
        <v>39</v>
      </c>
      <c r="H10" s="34"/>
      <c r="I10" s="239"/>
      <c r="J10" s="239"/>
      <c r="K10" s="239"/>
      <c r="L10" s="239"/>
      <c r="M10" s="371">
        <f t="shared" si="0"/>
        <v>81.25</v>
      </c>
      <c r="N10" s="239"/>
      <c r="O10" s="239"/>
      <c r="P10" s="239"/>
    </row>
    <row r="11" spans="2:16" x14ac:dyDescent="0.25">
      <c r="B11" s="31" t="s">
        <v>25</v>
      </c>
      <c r="C11" s="32" t="s">
        <v>9</v>
      </c>
      <c r="D11" s="32">
        <v>0.5</v>
      </c>
      <c r="E11" s="32" t="s">
        <v>14</v>
      </c>
      <c r="F11" s="372"/>
      <c r="G11" s="38">
        <v>0</v>
      </c>
      <c r="H11" s="34"/>
      <c r="I11" s="239"/>
      <c r="J11" s="239"/>
      <c r="K11" s="239"/>
      <c r="L11" s="239"/>
      <c r="M11" s="371">
        <f t="shared" si="0"/>
        <v>0</v>
      </c>
      <c r="N11" s="239"/>
      <c r="O11" s="239"/>
      <c r="P11" s="239"/>
    </row>
    <row r="12" spans="2:16" x14ac:dyDescent="0.25">
      <c r="B12" s="31" t="s">
        <v>26</v>
      </c>
      <c r="C12" s="32" t="s">
        <v>9</v>
      </c>
      <c r="D12" s="32">
        <v>0.3</v>
      </c>
      <c r="E12" s="32" t="s">
        <v>14</v>
      </c>
      <c r="F12" s="372"/>
      <c r="G12" s="39">
        <v>7</v>
      </c>
      <c r="H12" s="34"/>
      <c r="I12" s="239"/>
      <c r="J12" s="239"/>
      <c r="K12" s="239"/>
      <c r="L12" s="239"/>
      <c r="M12" s="371">
        <f t="shared" si="0"/>
        <v>14.583333333333334</v>
      </c>
      <c r="N12" s="239"/>
      <c r="O12" s="239"/>
      <c r="P12" s="239"/>
    </row>
    <row r="13" spans="2:16" x14ac:dyDescent="0.25">
      <c r="B13" s="31" t="s">
        <v>27</v>
      </c>
      <c r="C13" s="32" t="s">
        <v>9</v>
      </c>
      <c r="D13" s="32">
        <v>0.05</v>
      </c>
      <c r="E13" s="32" t="s">
        <v>14</v>
      </c>
      <c r="F13" s="372"/>
      <c r="G13" s="38">
        <v>19</v>
      </c>
      <c r="H13" s="34"/>
      <c r="I13" s="239"/>
      <c r="J13" s="239"/>
      <c r="K13" s="239"/>
      <c r="L13" s="239"/>
      <c r="M13" s="371">
        <f t="shared" si="0"/>
        <v>39.583333333333329</v>
      </c>
      <c r="N13" s="239"/>
      <c r="O13" s="239"/>
      <c r="P13" s="239"/>
    </row>
    <row r="14" spans="2:16" ht="15" customHeight="1" x14ac:dyDescent="0.25">
      <c r="B14" s="31" t="s">
        <v>28</v>
      </c>
      <c r="C14" s="32" t="s">
        <v>29</v>
      </c>
      <c r="D14" s="32" t="s">
        <v>30</v>
      </c>
      <c r="E14" s="40"/>
      <c r="F14" s="373" t="s">
        <v>31</v>
      </c>
      <c r="G14" s="38">
        <v>7</v>
      </c>
      <c r="H14" s="350"/>
      <c r="I14" s="239"/>
      <c r="J14" s="239"/>
      <c r="K14" s="239"/>
      <c r="L14" s="239"/>
      <c r="M14" s="371">
        <f t="shared" si="0"/>
        <v>14.583333333333334</v>
      </c>
      <c r="N14" s="239"/>
      <c r="O14" s="239"/>
      <c r="P14" s="239"/>
    </row>
    <row r="15" spans="2:16" x14ac:dyDescent="0.25">
      <c r="B15" s="31" t="s">
        <v>32</v>
      </c>
      <c r="C15" s="32" t="s">
        <v>29</v>
      </c>
      <c r="D15" s="32" t="s">
        <v>33</v>
      </c>
      <c r="E15" s="40"/>
      <c r="F15" s="373"/>
      <c r="G15" s="39">
        <v>0</v>
      </c>
      <c r="H15" s="34"/>
      <c r="I15" s="239"/>
      <c r="J15" s="239"/>
      <c r="K15" s="239"/>
      <c r="L15" s="239"/>
      <c r="M15" s="371">
        <f t="shared" si="0"/>
        <v>0</v>
      </c>
      <c r="N15" s="239"/>
      <c r="O15" s="239"/>
      <c r="P15" s="239"/>
    </row>
    <row r="16" spans="2:16" ht="17.25" x14ac:dyDescent="0.25">
      <c r="B16" s="31" t="s">
        <v>34</v>
      </c>
      <c r="C16" s="32" t="s">
        <v>29</v>
      </c>
      <c r="D16" s="32" t="s">
        <v>30</v>
      </c>
      <c r="E16" s="40"/>
      <c r="F16" s="373"/>
      <c r="G16" s="33">
        <v>0</v>
      </c>
      <c r="H16" s="41"/>
      <c r="I16" s="239"/>
      <c r="J16" s="239"/>
      <c r="K16" s="239"/>
      <c r="L16" s="239"/>
      <c r="M16" s="371">
        <f t="shared" si="0"/>
        <v>0</v>
      </c>
      <c r="N16" s="239"/>
      <c r="O16" s="239"/>
      <c r="P16" s="239"/>
    </row>
    <row r="17" spans="2:18" ht="17.25" x14ac:dyDescent="0.25">
      <c r="B17" s="31" t="s">
        <v>35</v>
      </c>
      <c r="C17" s="32" t="s">
        <v>29</v>
      </c>
      <c r="D17" s="32">
        <v>16</v>
      </c>
      <c r="E17" s="40"/>
      <c r="F17" s="373"/>
      <c r="G17" s="33">
        <v>0</v>
      </c>
      <c r="H17" s="41"/>
      <c r="I17" s="239"/>
      <c r="J17" s="239"/>
      <c r="K17" s="239"/>
      <c r="L17" s="239"/>
      <c r="M17" s="371">
        <f t="shared" si="0"/>
        <v>0</v>
      </c>
      <c r="N17" s="239"/>
      <c r="O17" s="239"/>
      <c r="P17" s="239"/>
      <c r="Q17" s="239"/>
      <c r="R17" s="239"/>
    </row>
    <row r="18" spans="2:18" x14ac:dyDescent="0.25">
      <c r="B18" s="31" t="s">
        <v>36</v>
      </c>
      <c r="C18" s="32" t="s">
        <v>29</v>
      </c>
      <c r="D18" s="32" t="s">
        <v>33</v>
      </c>
      <c r="E18" s="40"/>
      <c r="F18" s="373"/>
      <c r="G18" s="33">
        <v>0</v>
      </c>
      <c r="H18" s="34"/>
      <c r="I18" s="239"/>
      <c r="J18" s="239"/>
      <c r="K18" s="239"/>
      <c r="L18" s="239"/>
      <c r="M18" s="371">
        <f t="shared" si="0"/>
        <v>0</v>
      </c>
      <c r="N18" s="239"/>
      <c r="O18" s="239"/>
      <c r="P18" s="239"/>
      <c r="Q18" s="239"/>
      <c r="R18" s="239"/>
    </row>
    <row r="19" spans="2:18" x14ac:dyDescent="0.25">
      <c r="B19" s="31" t="s">
        <v>37</v>
      </c>
      <c r="C19" s="32" t="s">
        <v>29</v>
      </c>
      <c r="D19" s="32" t="s">
        <v>30</v>
      </c>
      <c r="E19" s="40"/>
      <c r="F19" s="373"/>
      <c r="G19" s="38">
        <v>2</v>
      </c>
      <c r="H19" s="349"/>
      <c r="I19" s="239"/>
      <c r="J19" s="239"/>
      <c r="K19" s="239"/>
      <c r="L19" s="239"/>
      <c r="M19" s="371">
        <f t="shared" si="0"/>
        <v>4.1666666666666661</v>
      </c>
      <c r="N19" s="239"/>
      <c r="O19" s="239"/>
      <c r="P19" s="239"/>
      <c r="Q19" s="239"/>
      <c r="R19" s="239">
        <f>325*0.8</f>
        <v>260</v>
      </c>
    </row>
    <row r="20" spans="2:18" x14ac:dyDescent="0.25">
      <c r="B20" s="31" t="s">
        <v>38</v>
      </c>
      <c r="C20" s="32" t="s">
        <v>29</v>
      </c>
      <c r="D20" s="32" t="s">
        <v>33</v>
      </c>
      <c r="E20" s="40"/>
      <c r="F20" s="373"/>
      <c r="G20" s="33">
        <v>0</v>
      </c>
      <c r="H20" s="34"/>
      <c r="I20" s="239"/>
      <c r="J20" s="239"/>
      <c r="K20" s="239"/>
      <c r="L20" s="239"/>
      <c r="M20" s="371">
        <f t="shared" si="0"/>
        <v>0</v>
      </c>
      <c r="N20" s="239"/>
      <c r="O20" s="239"/>
      <c r="P20" s="239"/>
      <c r="Q20" s="239"/>
      <c r="R20" s="239"/>
    </row>
    <row r="21" spans="2:18" x14ac:dyDescent="0.25">
      <c r="B21" s="42" t="s">
        <v>39</v>
      </c>
      <c r="C21" s="43" t="s">
        <v>29</v>
      </c>
      <c r="D21" s="43" t="s">
        <v>33</v>
      </c>
      <c r="E21" s="44"/>
      <c r="F21" s="374"/>
      <c r="G21" s="45">
        <v>1</v>
      </c>
      <c r="H21" s="46"/>
      <c r="I21" s="239"/>
      <c r="J21" s="239"/>
      <c r="K21" s="239"/>
      <c r="L21" s="239"/>
      <c r="M21" s="371">
        <f t="shared" si="0"/>
        <v>2.083333333333333</v>
      </c>
      <c r="N21" s="239"/>
      <c r="O21" s="239"/>
      <c r="P21" s="239"/>
      <c r="Q21" s="239"/>
      <c r="R21" s="239"/>
    </row>
    <row r="22" spans="2:18" x14ac:dyDescent="0.25">
      <c r="B22" s="239"/>
      <c r="C22" s="239"/>
      <c r="D22" s="239"/>
      <c r="E22" s="239"/>
      <c r="F22" s="239"/>
      <c r="G22" s="239"/>
      <c r="H22" s="239"/>
      <c r="I22" s="239"/>
      <c r="J22" s="239"/>
      <c r="K22" s="239"/>
      <c r="L22" s="239"/>
      <c r="M22" s="371">
        <f t="shared" si="0"/>
        <v>0</v>
      </c>
      <c r="N22" s="239"/>
      <c r="O22" s="239"/>
      <c r="P22" s="239"/>
      <c r="Q22" s="239"/>
      <c r="R22" s="239"/>
    </row>
    <row r="24" spans="2:18" x14ac:dyDescent="0.25">
      <c r="B24" s="1"/>
      <c r="C24" s="239" t="s">
        <v>40</v>
      </c>
      <c r="D24" s="239"/>
      <c r="E24" s="239"/>
      <c r="F24" s="239"/>
      <c r="G24" s="239"/>
      <c r="H24" s="239"/>
      <c r="I24" s="239"/>
      <c r="J24" s="239"/>
      <c r="K24" s="239"/>
      <c r="L24" s="239"/>
      <c r="N24" s="239"/>
      <c r="O24" s="239"/>
      <c r="P24" s="239"/>
      <c r="Q24" s="239"/>
      <c r="R24" s="239"/>
    </row>
    <row r="25" spans="2:18" x14ac:dyDescent="0.25">
      <c r="B25" s="3" t="s">
        <v>41</v>
      </c>
      <c r="C25" s="239" t="s">
        <v>42</v>
      </c>
      <c r="D25" s="239"/>
      <c r="E25" s="239"/>
      <c r="F25" s="239"/>
      <c r="G25" s="239"/>
      <c r="H25" s="239"/>
      <c r="I25" s="239"/>
      <c r="J25" s="239"/>
      <c r="K25" s="239"/>
      <c r="L25" s="239"/>
      <c r="N25" s="239"/>
      <c r="O25" s="239"/>
      <c r="P25" s="239"/>
      <c r="Q25" s="239"/>
      <c r="R25" s="239"/>
    </row>
    <row r="26" spans="2:18" x14ac:dyDescent="0.25">
      <c r="B26" s="3"/>
      <c r="C26" s="239"/>
      <c r="D26" s="239"/>
      <c r="E26" s="239"/>
      <c r="F26" s="239"/>
      <c r="G26" s="239"/>
      <c r="H26" s="239"/>
      <c r="I26" s="239"/>
      <c r="J26" s="239"/>
      <c r="K26" s="239"/>
      <c r="L26" s="239"/>
      <c r="N26" s="239"/>
      <c r="O26" s="239"/>
      <c r="P26" s="239"/>
      <c r="Q26" s="239"/>
      <c r="R26" s="239"/>
    </row>
    <row r="27" spans="2:18" ht="17.25" x14ac:dyDescent="0.25">
      <c r="B27" s="2">
        <v>1</v>
      </c>
      <c r="C27" s="239" t="s">
        <v>43</v>
      </c>
      <c r="D27" s="239"/>
      <c r="E27" s="239"/>
      <c r="F27" s="239"/>
      <c r="G27" s="239"/>
      <c r="H27" s="239"/>
      <c r="I27" s="239"/>
      <c r="J27" s="239"/>
      <c r="K27" s="239"/>
      <c r="L27" s="239"/>
      <c r="N27" s="239"/>
      <c r="O27" s="239"/>
      <c r="P27" s="239"/>
      <c r="Q27" s="239"/>
      <c r="R27" s="239"/>
    </row>
    <row r="28" spans="2:18" ht="17.25" x14ac:dyDescent="0.25">
      <c r="B28" s="2">
        <v>2</v>
      </c>
      <c r="C28" s="239" t="s">
        <v>44</v>
      </c>
      <c r="D28" s="239"/>
      <c r="E28" s="239"/>
      <c r="F28" s="239"/>
      <c r="G28" s="239"/>
      <c r="H28" s="239"/>
      <c r="I28" s="239"/>
      <c r="J28" s="239"/>
      <c r="K28" s="239"/>
      <c r="L28" s="239"/>
      <c r="N28" s="239"/>
      <c r="O28" s="239"/>
      <c r="P28" s="239"/>
      <c r="Q28" s="239"/>
      <c r="R28" s="239"/>
    </row>
    <row r="29" spans="2:18" ht="17.25" x14ac:dyDescent="0.25">
      <c r="B29" s="2">
        <v>3</v>
      </c>
      <c r="C29" s="239" t="s">
        <v>45</v>
      </c>
      <c r="D29" s="239"/>
      <c r="E29" s="239"/>
      <c r="F29" s="239"/>
      <c r="G29" s="239"/>
      <c r="H29" s="239"/>
      <c r="I29" s="239"/>
      <c r="J29" s="239"/>
      <c r="K29" s="239"/>
      <c r="L29" s="239"/>
      <c r="N29" s="239"/>
      <c r="O29" s="239"/>
      <c r="P29" s="239"/>
      <c r="Q29" s="239"/>
      <c r="R29" s="239"/>
    </row>
    <row r="30" spans="2:18" ht="17.25" x14ac:dyDescent="0.25">
      <c r="B30" s="2">
        <v>4</v>
      </c>
      <c r="C30" s="239" t="s">
        <v>46</v>
      </c>
      <c r="D30" s="239"/>
      <c r="E30" s="239"/>
      <c r="F30" s="239"/>
      <c r="G30" s="239"/>
      <c r="H30" s="239"/>
      <c r="I30" s="239"/>
      <c r="J30" s="239"/>
      <c r="K30" s="239"/>
      <c r="L30" s="239"/>
      <c r="N30" s="239"/>
      <c r="O30" s="239"/>
      <c r="P30" s="239"/>
      <c r="Q30" s="239"/>
      <c r="R30" s="239"/>
    </row>
    <row r="31" spans="2:18" x14ac:dyDescent="0.25">
      <c r="B31" s="3" t="s">
        <v>33</v>
      </c>
      <c r="C31" s="239" t="s">
        <v>47</v>
      </c>
      <c r="D31" s="239"/>
      <c r="E31" s="239"/>
      <c r="F31" s="239"/>
      <c r="G31" s="239"/>
      <c r="H31" s="239"/>
      <c r="I31" s="239"/>
      <c r="J31" s="239"/>
      <c r="K31" s="239"/>
      <c r="L31" s="239"/>
      <c r="N31" s="239"/>
      <c r="O31" s="239"/>
      <c r="P31" s="239"/>
      <c r="Q31" s="239"/>
      <c r="R31" s="239"/>
    </row>
    <row r="32" spans="2:18" x14ac:dyDescent="0.25">
      <c r="B32" s="3" t="s">
        <v>30</v>
      </c>
      <c r="C32" s="239" t="s">
        <v>48</v>
      </c>
      <c r="D32" s="239"/>
      <c r="E32" s="239"/>
      <c r="F32" s="239"/>
      <c r="G32" s="239"/>
      <c r="H32" s="239"/>
      <c r="I32" s="239"/>
      <c r="J32" s="239"/>
      <c r="K32" s="239"/>
      <c r="L32" s="239"/>
      <c r="N32" s="239"/>
      <c r="O32" s="239"/>
      <c r="P32" s="239"/>
      <c r="Q32" s="239"/>
      <c r="R32" s="239"/>
    </row>
    <row r="35" spans="2:12" x14ac:dyDescent="0.25">
      <c r="B35" s="4" t="s">
        <v>49</v>
      </c>
      <c r="C35" s="239"/>
      <c r="D35" s="239"/>
      <c r="E35" s="239"/>
      <c r="F35" s="239"/>
      <c r="G35" s="239"/>
      <c r="H35" s="239"/>
      <c r="I35" s="239"/>
      <c r="J35" s="239"/>
      <c r="K35" s="239"/>
      <c r="L35" s="239"/>
    </row>
    <row r="37" spans="2:12" x14ac:dyDescent="0.25">
      <c r="B37" s="239" t="s">
        <v>50</v>
      </c>
      <c r="C37" s="239"/>
      <c r="D37" s="239"/>
      <c r="E37" s="239"/>
      <c r="F37" s="239"/>
      <c r="G37" s="239"/>
      <c r="H37" s="239"/>
      <c r="I37" s="239"/>
      <c r="J37" s="239"/>
      <c r="K37" s="239"/>
      <c r="L37" s="239"/>
    </row>
  </sheetData>
  <sheetProtection selectLockedCells="1" selectUnlockedCells="1"/>
  <customSheetViews>
    <customSheetView guid="{00D01216-4B44-433C-B036-BE1A6969F2B5}">
      <selection activeCell="H29" sqref="H29"/>
      <pageMargins left="0" right="0" top="0" bottom="0" header="0" footer="0"/>
      <pageSetup orientation="portrait" r:id="rId1"/>
    </customSheetView>
  </customSheetViews>
  <mergeCells count="4">
    <mergeCell ref="F4:F13"/>
    <mergeCell ref="F14:F21"/>
    <mergeCell ref="D4:E4"/>
    <mergeCell ref="D6:E6"/>
  </mergeCells>
  <hyperlinks>
    <hyperlink ref="B35" r:id="rId2" xr:uid="{00000000-0004-0000-0100-000000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AC032-D1CF-4846-B3C3-5E75A7E31752}">
  <dimension ref="A1:P64"/>
  <sheetViews>
    <sheetView topLeftCell="A4" workbookViewId="0">
      <selection activeCell="C40" sqref="C40"/>
    </sheetView>
  </sheetViews>
  <sheetFormatPr defaultRowHeight="15" x14ac:dyDescent="0.25"/>
  <cols>
    <col min="2" max="2" width="22.7109375" style="25" customWidth="1"/>
    <col min="3" max="3" width="10.5703125" customWidth="1"/>
    <col min="6" max="6" width="10.85546875" style="21" customWidth="1"/>
    <col min="7" max="7" width="18.140625" customWidth="1"/>
    <col min="8" max="8" width="11.7109375" customWidth="1"/>
  </cols>
  <sheetData>
    <row r="1" spans="1:16" ht="30" x14ac:dyDescent="0.4">
      <c r="A1" s="239"/>
      <c r="B1" s="23" t="s">
        <v>585</v>
      </c>
      <c r="C1" s="20" t="s">
        <v>586</v>
      </c>
      <c r="D1" s="20" t="s">
        <v>587</v>
      </c>
      <c r="E1" s="239"/>
      <c r="F1" s="239"/>
      <c r="G1" s="47" t="s">
        <v>588</v>
      </c>
      <c r="H1" s="66">
        <v>7</v>
      </c>
      <c r="I1" s="49" t="s">
        <v>589</v>
      </c>
      <c r="J1" s="239"/>
      <c r="K1" s="239"/>
      <c r="L1" s="239"/>
      <c r="M1" s="239"/>
      <c r="N1" s="66" t="s">
        <v>147</v>
      </c>
      <c r="O1" s="55">
        <v>5</v>
      </c>
      <c r="P1" s="53" t="s">
        <v>243</v>
      </c>
    </row>
    <row r="2" spans="1:16" ht="25.5" x14ac:dyDescent="0.4">
      <c r="A2" s="239" t="str">
        <f>LEFT(B2, 3)</f>
        <v>J06</v>
      </c>
      <c r="B2" s="51" t="s">
        <v>106</v>
      </c>
      <c r="C2" s="239" t="s">
        <v>590</v>
      </c>
      <c r="D2" s="239">
        <f t="shared" ref="D2:D33" si="0">VLOOKUP($C2, BU, 2, FALSE)</f>
        <v>5</v>
      </c>
      <c r="E2" s="239"/>
      <c r="F2" s="239"/>
      <c r="G2" s="15" t="s">
        <v>591</v>
      </c>
      <c r="H2" s="66">
        <v>7</v>
      </c>
      <c r="I2" s="49" t="s">
        <v>589</v>
      </c>
      <c r="J2" s="239"/>
      <c r="K2" s="239"/>
      <c r="L2" s="239"/>
      <c r="M2" s="239"/>
      <c r="N2" s="66" t="s">
        <v>126</v>
      </c>
      <c r="O2" s="55">
        <v>6</v>
      </c>
      <c r="P2" s="53" t="s">
        <v>244</v>
      </c>
    </row>
    <row r="3" spans="1:16" ht="25.5" x14ac:dyDescent="0.4">
      <c r="A3" s="239" t="str">
        <f t="shared" ref="A3:A59" si="1">LEFT(B3, 3)</f>
        <v>J06</v>
      </c>
      <c r="B3" s="24" t="s">
        <v>107</v>
      </c>
      <c r="C3" s="239" t="s">
        <v>590</v>
      </c>
      <c r="D3" s="239">
        <f t="shared" si="0"/>
        <v>5</v>
      </c>
      <c r="E3" s="239"/>
      <c r="F3" s="239"/>
      <c r="G3" s="14" t="s">
        <v>592</v>
      </c>
      <c r="H3" s="66">
        <v>7</v>
      </c>
      <c r="I3" s="49" t="s">
        <v>589</v>
      </c>
      <c r="J3" s="239"/>
      <c r="K3" s="239"/>
      <c r="L3" s="239"/>
      <c r="M3" s="239"/>
      <c r="N3" s="66" t="s">
        <v>171</v>
      </c>
      <c r="O3" s="55">
        <v>7</v>
      </c>
      <c r="P3" s="54" t="s">
        <v>245</v>
      </c>
    </row>
    <row r="4" spans="1:16" ht="25.5" x14ac:dyDescent="0.4">
      <c r="A4" s="239" t="str">
        <f t="shared" si="1"/>
        <v>J06</v>
      </c>
      <c r="B4" s="51" t="s">
        <v>104</v>
      </c>
      <c r="C4" s="239" t="s">
        <v>590</v>
      </c>
      <c r="D4" s="239">
        <f t="shared" si="0"/>
        <v>5</v>
      </c>
      <c r="E4" s="239"/>
      <c r="F4" s="239"/>
      <c r="G4" s="14" t="s">
        <v>593</v>
      </c>
      <c r="H4" s="66">
        <v>7</v>
      </c>
      <c r="I4" s="49" t="s">
        <v>589</v>
      </c>
      <c r="J4" s="239"/>
      <c r="K4" s="239"/>
      <c r="L4" s="239"/>
      <c r="M4" s="239"/>
      <c r="N4" s="239"/>
      <c r="O4" s="239"/>
      <c r="P4" s="239"/>
    </row>
    <row r="5" spans="1:16" ht="25.5" x14ac:dyDescent="0.4">
      <c r="A5" s="239" t="str">
        <f t="shared" si="1"/>
        <v>J01</v>
      </c>
      <c r="B5" s="16" t="s">
        <v>108</v>
      </c>
      <c r="C5" s="239" t="s">
        <v>594</v>
      </c>
      <c r="D5" s="239">
        <f t="shared" si="0"/>
        <v>6</v>
      </c>
      <c r="E5" s="239"/>
      <c r="F5" s="239"/>
      <c r="G5" s="14" t="s">
        <v>595</v>
      </c>
      <c r="H5" s="66">
        <v>7</v>
      </c>
      <c r="I5" s="49" t="s">
        <v>589</v>
      </c>
      <c r="J5" s="239"/>
      <c r="K5" s="239"/>
      <c r="L5" s="239"/>
      <c r="M5" s="239"/>
      <c r="N5" s="239"/>
      <c r="O5" s="239"/>
      <c r="P5" s="239"/>
    </row>
    <row r="6" spans="1:16" ht="25.5" x14ac:dyDescent="0.4">
      <c r="A6" s="239" t="str">
        <f t="shared" si="1"/>
        <v>J01</v>
      </c>
      <c r="B6" s="16" t="s">
        <v>101</v>
      </c>
      <c r="C6" s="239" t="s">
        <v>594</v>
      </c>
      <c r="D6" s="239">
        <f t="shared" si="0"/>
        <v>6</v>
      </c>
      <c r="E6" s="239"/>
      <c r="F6" s="239"/>
      <c r="G6" s="14" t="s">
        <v>596</v>
      </c>
      <c r="H6" s="66">
        <v>7</v>
      </c>
      <c r="I6" s="49" t="s">
        <v>589</v>
      </c>
      <c r="J6" s="239"/>
      <c r="K6" s="239"/>
      <c r="L6" s="239"/>
      <c r="M6" s="239"/>
      <c r="N6" s="239"/>
      <c r="O6" s="239"/>
      <c r="P6" s="239"/>
    </row>
    <row r="7" spans="1:16" ht="25.5" x14ac:dyDescent="0.4">
      <c r="A7" s="239" t="str">
        <f t="shared" si="1"/>
        <v>J01</v>
      </c>
      <c r="B7" s="16" t="s">
        <v>105</v>
      </c>
      <c r="C7" s="239" t="s">
        <v>594</v>
      </c>
      <c r="D7" s="239">
        <f t="shared" si="0"/>
        <v>6</v>
      </c>
      <c r="E7" s="239"/>
      <c r="F7" s="239"/>
      <c r="G7" s="14" t="s">
        <v>597</v>
      </c>
      <c r="H7" s="66">
        <v>6</v>
      </c>
      <c r="I7" s="239" t="s">
        <v>598</v>
      </c>
      <c r="J7" s="239"/>
      <c r="K7" s="239"/>
      <c r="L7" s="239"/>
      <c r="M7" s="239"/>
      <c r="N7" s="239"/>
      <c r="O7" s="239"/>
      <c r="P7" s="239"/>
    </row>
    <row r="8" spans="1:16" ht="25.5" x14ac:dyDescent="0.4">
      <c r="A8" s="239" t="str">
        <f t="shared" si="1"/>
        <v>J01</v>
      </c>
      <c r="B8" s="51" t="s">
        <v>110</v>
      </c>
      <c r="C8" s="239" t="s">
        <v>594</v>
      </c>
      <c r="D8" s="239">
        <f t="shared" si="0"/>
        <v>6</v>
      </c>
      <c r="E8" s="239"/>
      <c r="F8" s="239"/>
      <c r="G8" s="14" t="s">
        <v>599</v>
      </c>
      <c r="H8" s="66">
        <v>6</v>
      </c>
      <c r="I8" s="239" t="s">
        <v>598</v>
      </c>
      <c r="J8" s="239"/>
      <c r="K8" s="239"/>
      <c r="L8" s="239"/>
      <c r="M8" s="239"/>
      <c r="N8" s="239"/>
      <c r="O8" s="199">
        <v>5</v>
      </c>
      <c r="P8" s="53" t="s">
        <v>243</v>
      </c>
    </row>
    <row r="9" spans="1:16" ht="25.5" x14ac:dyDescent="0.4">
      <c r="A9" s="239" t="str">
        <f t="shared" si="1"/>
        <v>L05</v>
      </c>
      <c r="B9" s="16" t="s">
        <v>112</v>
      </c>
      <c r="C9" s="239" t="s">
        <v>592</v>
      </c>
      <c r="D9" s="239">
        <f t="shared" si="0"/>
        <v>7</v>
      </c>
      <c r="E9" s="239"/>
      <c r="F9" s="239"/>
      <c r="G9" s="14" t="s">
        <v>600</v>
      </c>
      <c r="H9" s="66">
        <v>5</v>
      </c>
      <c r="I9" s="49" t="s">
        <v>601</v>
      </c>
      <c r="J9" s="239"/>
      <c r="K9" s="239"/>
      <c r="L9" s="239"/>
      <c r="M9" s="239"/>
      <c r="N9" s="239"/>
      <c r="O9" s="199">
        <v>6</v>
      </c>
      <c r="P9" s="53" t="s">
        <v>244</v>
      </c>
    </row>
    <row r="10" spans="1:16" ht="25.5" x14ac:dyDescent="0.4">
      <c r="A10" s="239" t="str">
        <f t="shared" si="1"/>
        <v>L05</v>
      </c>
      <c r="B10" s="16" t="s">
        <v>113</v>
      </c>
      <c r="C10" s="239" t="s">
        <v>592</v>
      </c>
      <c r="D10" s="239">
        <f t="shared" si="0"/>
        <v>7</v>
      </c>
      <c r="E10" s="239"/>
      <c r="F10" s="239"/>
      <c r="G10" s="14" t="s">
        <v>594</v>
      </c>
      <c r="H10" s="66">
        <v>6</v>
      </c>
      <c r="I10" s="239" t="s">
        <v>598</v>
      </c>
      <c r="J10" s="239"/>
      <c r="K10" s="239"/>
      <c r="L10" s="239"/>
      <c r="M10" s="239"/>
      <c r="N10" s="239"/>
      <c r="O10" s="199">
        <v>7</v>
      </c>
      <c r="P10" s="54" t="s">
        <v>245</v>
      </c>
    </row>
    <row r="11" spans="1:16" ht="25.5" x14ac:dyDescent="0.4">
      <c r="A11" s="239" t="str">
        <f t="shared" si="1"/>
        <v>L02</v>
      </c>
      <c r="B11" s="63" t="s">
        <v>115</v>
      </c>
      <c r="C11" s="14" t="s">
        <v>591</v>
      </c>
      <c r="D11" s="239">
        <f t="shared" si="0"/>
        <v>7</v>
      </c>
      <c r="E11" s="239"/>
      <c r="F11" s="239"/>
      <c r="G11" s="14" t="s">
        <v>602</v>
      </c>
      <c r="H11" s="66">
        <v>7</v>
      </c>
      <c r="I11" s="49" t="s">
        <v>589</v>
      </c>
      <c r="J11" s="239"/>
      <c r="K11" s="239"/>
      <c r="L11" s="239"/>
      <c r="M11" s="239"/>
      <c r="N11" s="239"/>
      <c r="O11" s="239"/>
      <c r="P11" s="239"/>
    </row>
    <row r="12" spans="1:16" ht="25.5" x14ac:dyDescent="0.4">
      <c r="A12" s="239" t="str">
        <f t="shared" si="1"/>
        <v>L01</v>
      </c>
      <c r="B12" s="16" t="s">
        <v>109</v>
      </c>
      <c r="C12" s="47" t="s">
        <v>588</v>
      </c>
      <c r="D12" s="239">
        <f t="shared" si="0"/>
        <v>7</v>
      </c>
      <c r="E12" s="239"/>
      <c r="F12" s="239"/>
      <c r="G12" s="14" t="s">
        <v>603</v>
      </c>
      <c r="H12" s="66">
        <v>7</v>
      </c>
      <c r="I12" s="49" t="s">
        <v>589</v>
      </c>
      <c r="J12" s="239"/>
      <c r="K12" s="239"/>
      <c r="L12" s="239"/>
      <c r="M12" s="51"/>
      <c r="N12" s="239"/>
      <c r="O12" s="239"/>
      <c r="P12" s="239"/>
    </row>
    <row r="13" spans="1:16" ht="25.5" x14ac:dyDescent="0.4">
      <c r="A13" s="239" t="str">
        <f t="shared" si="1"/>
        <v>L01</v>
      </c>
      <c r="B13" s="16" t="s">
        <v>111</v>
      </c>
      <c r="C13" s="15" t="s">
        <v>588</v>
      </c>
      <c r="D13" s="239">
        <f t="shared" si="0"/>
        <v>7</v>
      </c>
      <c r="E13" s="239"/>
      <c r="F13" s="239"/>
      <c r="G13" s="14" t="s">
        <v>590</v>
      </c>
      <c r="H13" s="66">
        <v>5</v>
      </c>
      <c r="I13" s="49" t="s">
        <v>601</v>
      </c>
      <c r="J13" s="239"/>
      <c r="K13" s="239"/>
      <c r="L13" s="239"/>
      <c r="M13" s="51"/>
      <c r="N13" s="239"/>
      <c r="O13" s="239"/>
      <c r="P13" s="239"/>
    </row>
    <row r="14" spans="1:16" ht="25.5" x14ac:dyDescent="0.4">
      <c r="A14" s="239" t="str">
        <f t="shared" si="1"/>
        <v>L01</v>
      </c>
      <c r="B14" s="61" t="s">
        <v>117</v>
      </c>
      <c r="C14" s="14" t="s">
        <v>604</v>
      </c>
      <c r="D14" s="239">
        <f t="shared" si="0"/>
        <v>7</v>
      </c>
      <c r="E14" s="239"/>
      <c r="F14" s="239"/>
      <c r="G14" s="14" t="s">
        <v>605</v>
      </c>
      <c r="H14" s="66">
        <v>7</v>
      </c>
      <c r="I14" s="49" t="s">
        <v>589</v>
      </c>
      <c r="J14" s="239"/>
      <c r="K14" s="239"/>
      <c r="L14" s="239"/>
      <c r="M14" s="239"/>
      <c r="N14" s="239"/>
      <c r="O14" s="239"/>
      <c r="P14" s="239"/>
    </row>
    <row r="15" spans="1:16" ht="25.5" x14ac:dyDescent="0.4">
      <c r="A15" s="239" t="str">
        <f t="shared" si="1"/>
        <v>L01</v>
      </c>
      <c r="B15" s="16" t="s">
        <v>116</v>
      </c>
      <c r="C15" s="14" t="s">
        <v>604</v>
      </c>
      <c r="D15" s="239">
        <f t="shared" si="0"/>
        <v>7</v>
      </c>
      <c r="E15" s="239"/>
      <c r="F15" s="239"/>
      <c r="G15" s="14" t="s">
        <v>606</v>
      </c>
      <c r="H15" s="66">
        <v>6</v>
      </c>
      <c r="I15" s="239" t="s">
        <v>598</v>
      </c>
      <c r="J15" s="239"/>
      <c r="K15" s="239"/>
      <c r="L15" s="239"/>
      <c r="M15" s="239"/>
      <c r="N15" s="239"/>
      <c r="O15" s="239"/>
      <c r="P15" s="239"/>
    </row>
    <row r="16" spans="1:16" ht="25.5" x14ac:dyDescent="0.4">
      <c r="A16" s="239" t="str">
        <f t="shared" si="1"/>
        <v>I00</v>
      </c>
      <c r="B16" s="24" t="s">
        <v>119</v>
      </c>
      <c r="C16" s="14" t="s">
        <v>607</v>
      </c>
      <c r="D16" s="239">
        <f t="shared" si="0"/>
        <v>6</v>
      </c>
      <c r="E16" s="239"/>
      <c r="F16" s="239"/>
      <c r="G16" s="14" t="s">
        <v>608</v>
      </c>
      <c r="H16" s="66">
        <v>6</v>
      </c>
      <c r="I16" s="239" t="s">
        <v>598</v>
      </c>
      <c r="J16" s="239"/>
      <c r="K16" s="239"/>
      <c r="L16" s="239"/>
      <c r="M16" s="239"/>
      <c r="N16" s="239"/>
      <c r="O16" s="239"/>
      <c r="P16" s="239"/>
    </row>
    <row r="17" spans="1:9" ht="25.5" x14ac:dyDescent="0.4">
      <c r="A17" s="239" t="str">
        <f t="shared" si="1"/>
        <v>I01</v>
      </c>
      <c r="B17" s="24" t="s">
        <v>123</v>
      </c>
      <c r="C17" s="14" t="s">
        <v>608</v>
      </c>
      <c r="D17" s="239">
        <f t="shared" si="0"/>
        <v>6</v>
      </c>
      <c r="E17" s="239"/>
      <c r="F17" s="239"/>
      <c r="G17" s="14" t="s">
        <v>607</v>
      </c>
      <c r="H17" s="66">
        <v>6</v>
      </c>
      <c r="I17" s="239" t="s">
        <v>598</v>
      </c>
    </row>
    <row r="18" spans="1:9" ht="25.5" x14ac:dyDescent="0.4">
      <c r="A18" s="239" t="str">
        <f t="shared" si="1"/>
        <v>K01</v>
      </c>
      <c r="B18" s="16" t="s">
        <v>125</v>
      </c>
      <c r="C18" s="50" t="s">
        <v>609</v>
      </c>
      <c r="D18" s="239">
        <f t="shared" si="0"/>
        <v>6</v>
      </c>
      <c r="E18" s="239"/>
      <c r="F18" s="239"/>
      <c r="G18" s="14" t="s">
        <v>610</v>
      </c>
      <c r="H18" s="66">
        <v>6</v>
      </c>
      <c r="I18" s="239" t="s">
        <v>598</v>
      </c>
    </row>
    <row r="19" spans="1:9" ht="25.5" x14ac:dyDescent="0.4">
      <c r="A19" s="239" t="str">
        <f t="shared" si="1"/>
        <v>K01</v>
      </c>
      <c r="B19" s="16" t="s">
        <v>127</v>
      </c>
      <c r="C19" s="50" t="s">
        <v>609</v>
      </c>
      <c r="D19" s="239">
        <f t="shared" si="0"/>
        <v>6</v>
      </c>
      <c r="E19" s="239"/>
      <c r="F19" s="239"/>
      <c r="G19" s="14" t="s">
        <v>611</v>
      </c>
      <c r="H19" s="66">
        <v>6</v>
      </c>
      <c r="I19" s="239" t="s">
        <v>598</v>
      </c>
    </row>
    <row r="20" spans="1:9" s="21" customFormat="1" ht="25.5" x14ac:dyDescent="0.4">
      <c r="A20" s="239" t="str">
        <f t="shared" si="1"/>
        <v>K01</v>
      </c>
      <c r="B20" s="52" t="s">
        <v>582</v>
      </c>
      <c r="C20" s="50" t="s">
        <v>609</v>
      </c>
      <c r="D20" s="239">
        <f t="shared" si="0"/>
        <v>6</v>
      </c>
      <c r="E20" s="239"/>
      <c r="F20" s="239"/>
      <c r="G20" s="14" t="s">
        <v>604</v>
      </c>
      <c r="H20" s="66">
        <v>7</v>
      </c>
      <c r="I20" s="49" t="s">
        <v>589</v>
      </c>
    </row>
    <row r="21" spans="1:9" ht="25.5" x14ac:dyDescent="0.4">
      <c r="A21" s="239" t="str">
        <f t="shared" si="1"/>
        <v>J03</v>
      </c>
      <c r="B21" s="63" t="s">
        <v>128</v>
      </c>
      <c r="C21" s="50" t="s">
        <v>606</v>
      </c>
      <c r="D21" s="239">
        <f t="shared" si="0"/>
        <v>6</v>
      </c>
      <c r="E21" s="239"/>
      <c r="F21" s="239"/>
      <c r="G21" s="14" t="s">
        <v>612</v>
      </c>
      <c r="H21" s="66">
        <v>6</v>
      </c>
      <c r="I21" s="239" t="s">
        <v>598</v>
      </c>
    </row>
    <row r="22" spans="1:9" ht="25.5" x14ac:dyDescent="0.4">
      <c r="A22" s="239" t="str">
        <f t="shared" si="1"/>
        <v>J01</v>
      </c>
      <c r="B22" s="16" t="s">
        <v>130</v>
      </c>
      <c r="C22" s="50" t="s">
        <v>594</v>
      </c>
      <c r="D22" s="239">
        <f t="shared" si="0"/>
        <v>6</v>
      </c>
      <c r="E22" s="239"/>
      <c r="F22" s="239"/>
      <c r="G22" s="14" t="s">
        <v>609</v>
      </c>
      <c r="H22" s="66">
        <v>6</v>
      </c>
      <c r="I22" s="239" t="s">
        <v>598</v>
      </c>
    </row>
    <row r="23" spans="1:9" ht="25.5" x14ac:dyDescent="0.4">
      <c r="A23" s="239" t="str">
        <f t="shared" si="1"/>
        <v>J01</v>
      </c>
      <c r="B23" s="16" t="s">
        <v>132</v>
      </c>
      <c r="C23" s="50" t="s">
        <v>594</v>
      </c>
      <c r="D23" s="239">
        <f t="shared" si="0"/>
        <v>6</v>
      </c>
      <c r="E23" s="239"/>
      <c r="F23" s="239"/>
      <c r="G23" s="50" t="s">
        <v>613</v>
      </c>
      <c r="H23" s="66">
        <v>7</v>
      </c>
      <c r="I23" s="239" t="s">
        <v>589</v>
      </c>
    </row>
    <row r="24" spans="1:9" x14ac:dyDescent="0.25">
      <c r="A24" s="239" t="str">
        <f t="shared" si="1"/>
        <v>L03</v>
      </c>
      <c r="B24" s="16" t="s">
        <v>124</v>
      </c>
      <c r="C24" s="50" t="s">
        <v>593</v>
      </c>
      <c r="D24" s="239">
        <f t="shared" si="0"/>
        <v>7</v>
      </c>
      <c r="E24" s="239"/>
      <c r="F24" s="239"/>
      <c r="G24" s="239"/>
      <c r="H24" s="239"/>
      <c r="I24" s="239"/>
    </row>
    <row r="25" spans="1:9" x14ac:dyDescent="0.25">
      <c r="A25" s="239" t="str">
        <f t="shared" si="1"/>
        <v>J01</v>
      </c>
      <c r="B25" s="61" t="s">
        <v>134</v>
      </c>
      <c r="C25" s="50" t="s">
        <v>594</v>
      </c>
      <c r="D25" s="239">
        <f t="shared" si="0"/>
        <v>6</v>
      </c>
      <c r="E25" s="239"/>
      <c r="F25" s="239"/>
      <c r="G25" s="239"/>
      <c r="H25" s="239"/>
      <c r="I25" s="239"/>
    </row>
    <row r="26" spans="1:9" x14ac:dyDescent="0.25">
      <c r="A26" s="239" t="str">
        <f t="shared" si="1"/>
        <v>I01</v>
      </c>
      <c r="B26" s="24" t="s">
        <v>136</v>
      </c>
      <c r="C26" s="50" t="s">
        <v>600</v>
      </c>
      <c r="D26" s="239">
        <f t="shared" si="0"/>
        <v>5</v>
      </c>
      <c r="E26" s="239"/>
      <c r="F26" s="239"/>
      <c r="G26" s="48"/>
      <c r="H26" s="40"/>
      <c r="I26" s="239"/>
    </row>
    <row r="27" spans="1:9" x14ac:dyDescent="0.25">
      <c r="A27" s="239" t="str">
        <f t="shared" si="1"/>
        <v>I01</v>
      </c>
      <c r="B27" s="24" t="s">
        <v>133</v>
      </c>
      <c r="C27" s="50" t="s">
        <v>600</v>
      </c>
      <c r="D27" s="239">
        <f t="shared" si="0"/>
        <v>5</v>
      </c>
      <c r="E27" s="239"/>
      <c r="F27" s="239"/>
      <c r="G27" s="239"/>
      <c r="H27" s="239"/>
      <c r="I27" s="239"/>
    </row>
    <row r="28" spans="1:9" x14ac:dyDescent="0.25">
      <c r="A28" s="239" t="str">
        <f t="shared" si="1"/>
        <v>J01</v>
      </c>
      <c r="B28" s="16" t="s">
        <v>342</v>
      </c>
      <c r="C28" s="50" t="s">
        <v>594</v>
      </c>
      <c r="D28" s="239">
        <f t="shared" si="0"/>
        <v>6</v>
      </c>
      <c r="E28" s="239"/>
      <c r="F28" s="239"/>
      <c r="G28" s="239"/>
      <c r="H28" s="239"/>
      <c r="I28" s="239"/>
    </row>
    <row r="29" spans="1:9" x14ac:dyDescent="0.25">
      <c r="A29" s="239" t="str">
        <f t="shared" si="1"/>
        <v>J01</v>
      </c>
      <c r="B29" s="16" t="s">
        <v>142</v>
      </c>
      <c r="C29" s="50" t="s">
        <v>594</v>
      </c>
      <c r="D29" s="239">
        <f t="shared" si="0"/>
        <v>6</v>
      </c>
      <c r="E29" s="239"/>
      <c r="F29" s="239"/>
      <c r="G29" s="239"/>
      <c r="H29" s="239"/>
      <c r="I29" s="239"/>
    </row>
    <row r="30" spans="1:9" x14ac:dyDescent="0.25">
      <c r="A30" s="239" t="str">
        <f t="shared" si="1"/>
        <v>J01</v>
      </c>
      <c r="B30" s="16" t="s">
        <v>137</v>
      </c>
      <c r="C30" s="50" t="s">
        <v>594</v>
      </c>
      <c r="D30" s="239">
        <f t="shared" si="0"/>
        <v>6</v>
      </c>
      <c r="E30" s="239"/>
      <c r="F30" s="239"/>
      <c r="G30" s="239"/>
      <c r="H30" s="239"/>
      <c r="I30" s="239"/>
    </row>
    <row r="31" spans="1:9" x14ac:dyDescent="0.25">
      <c r="A31" s="239" t="str">
        <f t="shared" si="1"/>
        <v>J01</v>
      </c>
      <c r="B31" s="61" t="s">
        <v>140</v>
      </c>
      <c r="C31" s="50" t="s">
        <v>594</v>
      </c>
      <c r="D31" s="239">
        <f t="shared" si="0"/>
        <v>6</v>
      </c>
      <c r="E31" s="239"/>
      <c r="F31" s="239"/>
      <c r="G31" s="239"/>
      <c r="H31" s="239"/>
      <c r="I31" s="239"/>
    </row>
    <row r="32" spans="1:9" x14ac:dyDescent="0.25">
      <c r="A32" s="239" t="str">
        <f t="shared" si="1"/>
        <v>J01</v>
      </c>
      <c r="B32" s="16" t="s">
        <v>141</v>
      </c>
      <c r="C32" s="50" t="s">
        <v>594</v>
      </c>
      <c r="D32" s="239">
        <f t="shared" si="0"/>
        <v>6</v>
      </c>
      <c r="E32" s="239"/>
      <c r="F32" s="239"/>
      <c r="G32" s="239"/>
      <c r="H32" s="239"/>
      <c r="I32" s="239"/>
    </row>
    <row r="33" spans="1:16" x14ac:dyDescent="0.25">
      <c r="A33" s="239" t="str">
        <f t="shared" si="1"/>
        <v>L03</v>
      </c>
      <c r="B33" s="16" t="s">
        <v>150</v>
      </c>
      <c r="C33" s="50" t="s">
        <v>593</v>
      </c>
      <c r="D33" s="239">
        <f t="shared" si="0"/>
        <v>7</v>
      </c>
      <c r="E33" s="239"/>
      <c r="F33" s="239"/>
      <c r="G33" s="239"/>
      <c r="H33" s="239"/>
      <c r="I33" s="239"/>
      <c r="J33" s="239"/>
      <c r="K33" s="239"/>
      <c r="L33" s="239"/>
      <c r="M33" s="239"/>
      <c r="N33" s="239"/>
      <c r="O33" s="239"/>
      <c r="P33" s="239"/>
    </row>
    <row r="34" spans="1:16" x14ac:dyDescent="0.25">
      <c r="A34" s="239" t="str">
        <f t="shared" si="1"/>
        <v>L03</v>
      </c>
      <c r="B34" s="16" t="s">
        <v>145</v>
      </c>
      <c r="C34" s="50" t="s">
        <v>593</v>
      </c>
      <c r="D34" s="239">
        <f t="shared" ref="D34:D64" si="2">VLOOKUP($C34, BU, 2, FALSE)</f>
        <v>7</v>
      </c>
      <c r="E34" s="239"/>
      <c r="F34" s="239"/>
      <c r="G34" s="239"/>
      <c r="H34" s="239"/>
      <c r="I34" s="239"/>
      <c r="J34" s="239"/>
      <c r="K34" s="239"/>
      <c r="L34" s="239"/>
      <c r="M34" s="239"/>
      <c r="N34" s="239"/>
      <c r="O34" s="239"/>
      <c r="P34" s="239"/>
    </row>
    <row r="35" spans="1:16" x14ac:dyDescent="0.25">
      <c r="A35" s="239" t="str">
        <f t="shared" si="1"/>
        <v>L03</v>
      </c>
      <c r="B35" s="64" t="s">
        <v>148</v>
      </c>
      <c r="C35" s="50" t="s">
        <v>593</v>
      </c>
      <c r="D35" s="239">
        <f t="shared" si="2"/>
        <v>7</v>
      </c>
      <c r="E35" s="239"/>
      <c r="F35" s="239"/>
      <c r="G35" s="239"/>
      <c r="H35" s="239"/>
      <c r="I35" s="239"/>
      <c r="J35" s="239"/>
      <c r="K35" s="239"/>
      <c r="L35" s="239"/>
      <c r="M35" s="239"/>
      <c r="N35" s="239"/>
      <c r="O35" s="239"/>
      <c r="P35" s="239"/>
    </row>
    <row r="36" spans="1:16" x14ac:dyDescent="0.25">
      <c r="A36" s="239" t="str">
        <f t="shared" si="1"/>
        <v>L03</v>
      </c>
      <c r="B36" s="16" t="s">
        <v>149</v>
      </c>
      <c r="C36" s="50" t="s">
        <v>593</v>
      </c>
      <c r="D36" s="239">
        <f t="shared" si="2"/>
        <v>7</v>
      </c>
      <c r="E36" s="239"/>
      <c r="F36" s="239"/>
      <c r="G36" s="239"/>
      <c r="H36" s="239"/>
      <c r="I36" s="239"/>
      <c r="J36" s="239"/>
      <c r="K36" s="239"/>
      <c r="L36" s="239"/>
      <c r="M36" s="239"/>
      <c r="N36" s="239"/>
      <c r="O36" s="239"/>
      <c r="P36" s="239"/>
    </row>
    <row r="37" spans="1:16" x14ac:dyDescent="0.25">
      <c r="A37" s="239" t="str">
        <f t="shared" si="1"/>
        <v>L04</v>
      </c>
      <c r="B37" s="16" t="s">
        <v>144</v>
      </c>
      <c r="C37" s="14" t="s">
        <v>595</v>
      </c>
      <c r="D37" s="239">
        <f t="shared" si="2"/>
        <v>7</v>
      </c>
      <c r="E37" s="239"/>
      <c r="F37" s="239"/>
      <c r="G37" s="239"/>
      <c r="H37" s="239"/>
      <c r="I37" s="239"/>
      <c r="J37" s="239"/>
      <c r="K37" s="239"/>
      <c r="L37" s="239"/>
      <c r="M37" s="239"/>
      <c r="N37" s="239"/>
      <c r="O37" s="239"/>
      <c r="P37" s="239"/>
    </row>
    <row r="38" spans="1:16" s="21" customFormat="1" x14ac:dyDescent="0.25">
      <c r="A38" s="239" t="str">
        <f t="shared" ref="A38" si="3">LEFT(B38, 3)</f>
        <v>L04</v>
      </c>
      <c r="B38" s="16" t="s">
        <v>565</v>
      </c>
      <c r="C38" s="14" t="s">
        <v>595</v>
      </c>
      <c r="D38" s="239">
        <f t="shared" si="2"/>
        <v>7</v>
      </c>
      <c r="E38" s="239"/>
      <c r="F38" s="239"/>
      <c r="G38" s="239"/>
      <c r="H38" s="239"/>
      <c r="I38" s="239"/>
      <c r="J38" s="239"/>
      <c r="K38" s="239"/>
      <c r="L38" s="239"/>
      <c r="M38" s="239"/>
      <c r="N38" s="239"/>
      <c r="O38" s="239"/>
      <c r="P38" s="239"/>
    </row>
    <row r="39" spans="1:16" x14ac:dyDescent="0.25">
      <c r="A39" s="239" t="str">
        <f t="shared" si="1"/>
        <v>L04</v>
      </c>
      <c r="B39" s="61" t="s">
        <v>146</v>
      </c>
      <c r="C39" s="14" t="s">
        <v>595</v>
      </c>
      <c r="D39" s="239">
        <f t="shared" si="2"/>
        <v>7</v>
      </c>
      <c r="E39" s="239"/>
      <c r="F39" s="239"/>
      <c r="G39" s="239"/>
      <c r="H39" s="239"/>
      <c r="I39" s="239"/>
      <c r="J39" s="239"/>
      <c r="K39" s="239"/>
      <c r="L39" s="239"/>
      <c r="M39" s="239"/>
      <c r="N39" s="239"/>
      <c r="O39" s="239"/>
      <c r="P39" s="239"/>
    </row>
    <row r="40" spans="1:16" s="239" customFormat="1" x14ac:dyDescent="0.25">
      <c r="A40" s="239" t="str">
        <f t="shared" ref="A40" si="4">LEFT(B40, 3)</f>
        <v>L04</v>
      </c>
      <c r="B40" s="61" t="s">
        <v>261</v>
      </c>
      <c r="C40" s="14" t="s">
        <v>595</v>
      </c>
      <c r="D40" s="239">
        <f t="shared" si="2"/>
        <v>7</v>
      </c>
    </row>
    <row r="41" spans="1:16" x14ac:dyDescent="0.25">
      <c r="A41" s="239" t="str">
        <f t="shared" si="1"/>
        <v>L02</v>
      </c>
      <c r="B41" s="16" t="s">
        <v>155</v>
      </c>
      <c r="C41" s="50" t="s">
        <v>602</v>
      </c>
      <c r="D41" s="239">
        <f t="shared" si="2"/>
        <v>7</v>
      </c>
      <c r="E41" s="239"/>
      <c r="F41" s="239"/>
      <c r="G41" s="239"/>
      <c r="H41" s="239"/>
      <c r="I41" s="239"/>
      <c r="J41" s="239"/>
      <c r="K41" s="239"/>
      <c r="L41" s="239"/>
      <c r="M41" s="239"/>
      <c r="N41" s="239"/>
      <c r="O41" s="239"/>
      <c r="P41" s="239"/>
    </row>
    <row r="42" spans="1:16" x14ac:dyDescent="0.25">
      <c r="A42" s="239" t="str">
        <f t="shared" si="1"/>
        <v>L02</v>
      </c>
      <c r="B42" s="16" t="s">
        <v>154</v>
      </c>
      <c r="C42" s="50" t="s">
        <v>602</v>
      </c>
      <c r="D42" s="239">
        <f t="shared" si="2"/>
        <v>7</v>
      </c>
      <c r="E42" s="239"/>
      <c r="F42" s="239"/>
      <c r="G42" s="239"/>
      <c r="H42" s="239"/>
      <c r="I42" s="239"/>
      <c r="J42" s="239"/>
      <c r="K42" s="239"/>
      <c r="L42" s="239"/>
      <c r="M42" s="239"/>
      <c r="N42" s="239"/>
      <c r="O42" s="239"/>
      <c r="P42" s="239"/>
    </row>
    <row r="43" spans="1:16" x14ac:dyDescent="0.25">
      <c r="A43" s="239" t="str">
        <f t="shared" si="1"/>
        <v>L02</v>
      </c>
      <c r="B43" s="16" t="s">
        <v>151</v>
      </c>
      <c r="C43" s="50" t="s">
        <v>591</v>
      </c>
      <c r="D43" s="239">
        <f t="shared" si="2"/>
        <v>7</v>
      </c>
      <c r="E43" s="239"/>
      <c r="F43" s="239"/>
      <c r="G43" s="239"/>
      <c r="H43" s="239"/>
      <c r="I43" s="239"/>
      <c r="J43" s="239"/>
      <c r="K43" s="239"/>
      <c r="L43" s="239"/>
      <c r="M43" s="239"/>
      <c r="N43" s="239"/>
      <c r="O43" s="239"/>
      <c r="P43" s="239"/>
    </row>
    <row r="44" spans="1:16" x14ac:dyDescent="0.25">
      <c r="A44" s="239" t="str">
        <f t="shared" si="1"/>
        <v>L02</v>
      </c>
      <c r="B44" s="16" t="s">
        <v>152</v>
      </c>
      <c r="C44" s="50" t="s">
        <v>591</v>
      </c>
      <c r="D44" s="239">
        <f t="shared" si="2"/>
        <v>7</v>
      </c>
      <c r="E44" s="239"/>
      <c r="F44" s="239"/>
      <c r="G44" s="239"/>
      <c r="H44" s="239"/>
      <c r="I44" s="239"/>
      <c r="J44" s="239"/>
      <c r="K44" s="239"/>
      <c r="L44" s="239"/>
      <c r="M44" s="239"/>
      <c r="N44" s="239"/>
      <c r="O44" s="239"/>
      <c r="P44" s="239"/>
    </row>
    <row r="45" spans="1:16" x14ac:dyDescent="0.25">
      <c r="A45" s="239" t="str">
        <f t="shared" si="1"/>
        <v>L01</v>
      </c>
      <c r="B45" s="59" t="s">
        <v>156</v>
      </c>
      <c r="C45" s="50" t="s">
        <v>603</v>
      </c>
      <c r="D45" s="239">
        <f t="shared" si="2"/>
        <v>7</v>
      </c>
      <c r="E45" s="239"/>
      <c r="F45" s="239"/>
      <c r="G45" s="239"/>
      <c r="H45" s="239"/>
      <c r="I45" s="239"/>
      <c r="J45" s="239"/>
      <c r="K45" s="239"/>
      <c r="L45" s="239"/>
      <c r="M45" s="239"/>
      <c r="N45" s="239"/>
      <c r="O45" s="239"/>
      <c r="P45" s="239"/>
    </row>
    <row r="46" spans="1:16" x14ac:dyDescent="0.25">
      <c r="A46" s="239" t="str">
        <f t="shared" si="1"/>
        <v>M02</v>
      </c>
      <c r="B46" s="16" t="s">
        <v>161</v>
      </c>
      <c r="C46" s="50" t="s">
        <v>614</v>
      </c>
      <c r="D46" s="239">
        <f t="shared" si="2"/>
        <v>6</v>
      </c>
      <c r="E46" s="239"/>
      <c r="F46" s="239"/>
      <c r="G46" s="239"/>
      <c r="H46" s="239"/>
      <c r="I46" s="239"/>
      <c r="J46" s="239"/>
      <c r="K46" s="239"/>
      <c r="L46" s="239"/>
      <c r="M46" s="239"/>
      <c r="N46" s="239"/>
      <c r="O46" s="239"/>
      <c r="P46" s="239"/>
    </row>
    <row r="47" spans="1:16" x14ac:dyDescent="0.25">
      <c r="A47" s="239" t="str">
        <f t="shared" si="1"/>
        <v>M01</v>
      </c>
      <c r="B47" s="61" t="s">
        <v>157</v>
      </c>
      <c r="C47" s="50" t="s">
        <v>615</v>
      </c>
      <c r="D47" s="239">
        <f t="shared" si="2"/>
        <v>6</v>
      </c>
      <c r="E47" s="239"/>
      <c r="F47" s="239"/>
      <c r="G47" s="239"/>
      <c r="H47" s="239"/>
      <c r="I47" s="239"/>
      <c r="J47" s="239"/>
      <c r="K47" s="239"/>
      <c r="L47" s="239"/>
      <c r="M47" s="239"/>
      <c r="N47" s="239"/>
      <c r="O47" s="239"/>
      <c r="P47" s="239"/>
    </row>
    <row r="48" spans="1:16" x14ac:dyDescent="0.25">
      <c r="A48" s="239" t="str">
        <f t="shared" si="1"/>
        <v>M02</v>
      </c>
      <c r="B48" s="16" t="s">
        <v>163</v>
      </c>
      <c r="C48" s="50" t="s">
        <v>614</v>
      </c>
      <c r="D48" s="239">
        <f t="shared" si="2"/>
        <v>6</v>
      </c>
      <c r="E48" s="239"/>
      <c r="F48" s="239"/>
      <c r="G48" s="239"/>
      <c r="H48" s="239"/>
      <c r="I48" s="239"/>
      <c r="J48" s="239"/>
      <c r="K48" s="239"/>
      <c r="L48" s="239"/>
      <c r="M48" s="239"/>
      <c r="N48" s="239"/>
      <c r="O48" s="239"/>
      <c r="P48" s="239"/>
    </row>
    <row r="49" spans="1:16" x14ac:dyDescent="0.25">
      <c r="A49" s="239" t="str">
        <f t="shared" si="1"/>
        <v>M02</v>
      </c>
      <c r="B49" s="16" t="s">
        <v>160</v>
      </c>
      <c r="C49" s="50" t="s">
        <v>614</v>
      </c>
      <c r="D49" s="239">
        <f t="shared" si="2"/>
        <v>6</v>
      </c>
      <c r="E49" s="239"/>
      <c r="F49" s="239"/>
      <c r="G49" s="239"/>
      <c r="H49" s="239"/>
      <c r="I49" s="239"/>
      <c r="J49" s="239"/>
      <c r="K49" s="239"/>
      <c r="L49" s="239"/>
      <c r="M49" s="239"/>
      <c r="N49" s="239"/>
      <c r="O49" s="239"/>
      <c r="P49" s="239"/>
    </row>
    <row r="50" spans="1:16" x14ac:dyDescent="0.25">
      <c r="A50" s="239" t="str">
        <f t="shared" si="1"/>
        <v>M02</v>
      </c>
      <c r="B50" s="16" t="s">
        <v>166</v>
      </c>
      <c r="C50" s="50" t="s">
        <v>614</v>
      </c>
      <c r="D50" s="239">
        <f t="shared" si="2"/>
        <v>6</v>
      </c>
      <c r="E50" s="239"/>
      <c r="F50" s="239"/>
      <c r="G50" s="239"/>
      <c r="H50" s="239"/>
      <c r="I50" s="239"/>
      <c r="J50" s="239"/>
      <c r="K50" s="239"/>
      <c r="L50" s="239"/>
      <c r="M50" s="239"/>
      <c r="N50" s="239"/>
      <c r="O50" s="239"/>
      <c r="P50" s="239"/>
    </row>
    <row r="51" spans="1:16" x14ac:dyDescent="0.25">
      <c r="A51" s="239" t="str">
        <f t="shared" si="1"/>
        <v>M02</v>
      </c>
      <c r="B51" s="16" t="s">
        <v>162</v>
      </c>
      <c r="C51" s="50" t="s">
        <v>614</v>
      </c>
      <c r="D51" s="239">
        <f t="shared" si="2"/>
        <v>6</v>
      </c>
      <c r="E51" s="239"/>
      <c r="F51" s="239"/>
      <c r="G51" s="239"/>
      <c r="H51" s="239"/>
      <c r="I51" s="239"/>
      <c r="J51" s="239"/>
      <c r="K51" s="239"/>
      <c r="L51" s="239"/>
      <c r="M51" s="239"/>
      <c r="N51" s="239"/>
      <c r="O51" s="239"/>
      <c r="P51" s="239"/>
    </row>
    <row r="52" spans="1:16" x14ac:dyDescent="0.25">
      <c r="A52" s="239" t="str">
        <f t="shared" si="1"/>
        <v>L01</v>
      </c>
      <c r="B52" s="16" t="s">
        <v>167</v>
      </c>
      <c r="C52" s="50" t="s">
        <v>604</v>
      </c>
      <c r="D52" s="239">
        <f t="shared" si="2"/>
        <v>7</v>
      </c>
      <c r="E52" s="239"/>
      <c r="F52" s="239"/>
      <c r="G52" s="239"/>
      <c r="H52" s="239"/>
      <c r="I52" s="239"/>
      <c r="J52" s="239"/>
      <c r="K52" s="239"/>
      <c r="L52" s="239"/>
      <c r="M52" s="239"/>
      <c r="N52" s="239"/>
      <c r="O52" s="239"/>
      <c r="P52" s="239"/>
    </row>
    <row r="53" spans="1:16" x14ac:dyDescent="0.25">
      <c r="A53" s="239" t="str">
        <f t="shared" si="1"/>
        <v>L02</v>
      </c>
      <c r="B53" s="16" t="s">
        <v>173</v>
      </c>
      <c r="C53" s="50" t="s">
        <v>591</v>
      </c>
      <c r="D53" s="239">
        <f t="shared" si="2"/>
        <v>7</v>
      </c>
      <c r="E53" s="239"/>
      <c r="F53" s="239"/>
      <c r="G53" s="239"/>
      <c r="H53" s="239"/>
      <c r="I53" s="239"/>
      <c r="J53" s="239"/>
      <c r="K53" s="239"/>
      <c r="L53" s="239"/>
      <c r="M53" s="239"/>
      <c r="N53" s="239"/>
      <c r="O53" s="239"/>
      <c r="P53" s="239"/>
    </row>
    <row r="54" spans="1:16" x14ac:dyDescent="0.25">
      <c r="A54" s="239" t="str">
        <f t="shared" si="1"/>
        <v>L01</v>
      </c>
      <c r="B54" s="16" t="s">
        <v>170</v>
      </c>
      <c r="C54" s="50" t="s">
        <v>604</v>
      </c>
      <c r="D54" s="239">
        <f t="shared" si="2"/>
        <v>7</v>
      </c>
      <c r="E54" s="239"/>
      <c r="F54" s="239"/>
      <c r="G54" s="239"/>
      <c r="H54" s="239"/>
      <c r="I54" s="239"/>
      <c r="J54" s="239"/>
      <c r="K54" s="239"/>
      <c r="L54" s="239"/>
      <c r="M54" s="239"/>
      <c r="N54" s="239"/>
      <c r="O54" s="239"/>
      <c r="P54" s="239"/>
    </row>
    <row r="55" spans="1:16" x14ac:dyDescent="0.25">
      <c r="A55" s="239" t="str">
        <f t="shared" si="1"/>
        <v>L01</v>
      </c>
      <c r="B55" s="16" t="s">
        <v>168</v>
      </c>
      <c r="C55" s="50" t="s">
        <v>604</v>
      </c>
      <c r="D55" s="239">
        <f t="shared" si="2"/>
        <v>7</v>
      </c>
      <c r="E55" s="239"/>
      <c r="F55" s="239"/>
      <c r="G55" s="239"/>
      <c r="H55" s="239"/>
      <c r="I55" s="239"/>
      <c r="J55" s="239"/>
      <c r="K55" s="239"/>
      <c r="L55" s="239"/>
      <c r="M55" s="239"/>
      <c r="N55" s="239"/>
      <c r="O55" s="239"/>
      <c r="P55" s="239"/>
    </row>
    <row r="56" spans="1:16" x14ac:dyDescent="0.25">
      <c r="A56" s="239" t="str">
        <f t="shared" si="1"/>
        <v>L01</v>
      </c>
      <c r="B56" s="16" t="s">
        <v>175</v>
      </c>
      <c r="C56" s="50" t="s">
        <v>604</v>
      </c>
      <c r="D56" s="239">
        <f t="shared" si="2"/>
        <v>7</v>
      </c>
      <c r="E56" s="239"/>
      <c r="F56" s="239"/>
      <c r="G56" s="239"/>
      <c r="H56" s="239"/>
      <c r="I56" s="239"/>
      <c r="J56" s="239"/>
      <c r="K56" s="239"/>
      <c r="L56" s="239"/>
      <c r="M56" s="239"/>
      <c r="N56" s="239"/>
      <c r="O56" s="239"/>
      <c r="P56" s="239"/>
    </row>
    <row r="57" spans="1:16" x14ac:dyDescent="0.25">
      <c r="A57" s="239" t="str">
        <f t="shared" si="1"/>
        <v>L01</v>
      </c>
      <c r="B57" s="63" t="s">
        <v>580</v>
      </c>
      <c r="C57" s="50" t="s">
        <v>604</v>
      </c>
      <c r="D57" s="239">
        <f t="shared" si="2"/>
        <v>7</v>
      </c>
      <c r="E57" s="239"/>
      <c r="F57" s="239"/>
      <c r="G57" s="239"/>
      <c r="H57" s="239"/>
      <c r="I57" s="239"/>
      <c r="J57" s="239"/>
      <c r="K57" s="239"/>
      <c r="L57" s="239"/>
      <c r="M57" s="239"/>
      <c r="N57" s="239"/>
      <c r="O57" s="239"/>
      <c r="P57" s="239"/>
    </row>
    <row r="58" spans="1:16" x14ac:dyDescent="0.25">
      <c r="A58" s="239" t="str">
        <f t="shared" si="1"/>
        <v>K01</v>
      </c>
      <c r="B58" s="64" t="s">
        <v>583</v>
      </c>
      <c r="C58" s="239" t="s">
        <v>609</v>
      </c>
      <c r="D58" s="239">
        <f t="shared" si="2"/>
        <v>6</v>
      </c>
      <c r="E58" s="239"/>
      <c r="F58" s="239"/>
      <c r="G58" s="239"/>
      <c r="H58" s="239"/>
      <c r="I58" s="239"/>
      <c r="J58" s="239"/>
      <c r="K58" s="239"/>
      <c r="L58" s="239"/>
      <c r="M58" s="239"/>
      <c r="N58" s="239"/>
      <c r="O58" s="239"/>
      <c r="P58" s="239"/>
    </row>
    <row r="59" spans="1:16" x14ac:dyDescent="0.25">
      <c r="A59" s="239" t="str">
        <f t="shared" si="1"/>
        <v>J03</v>
      </c>
      <c r="B59" s="26" t="s">
        <v>340</v>
      </c>
      <c r="C59" s="239" t="s">
        <v>606</v>
      </c>
      <c r="D59" s="239">
        <f t="shared" si="2"/>
        <v>6</v>
      </c>
      <c r="E59" s="239"/>
      <c r="F59" s="239"/>
      <c r="G59" s="239"/>
      <c r="H59" s="239"/>
      <c r="I59" s="239"/>
      <c r="J59" s="239"/>
      <c r="K59" s="239"/>
      <c r="L59" s="239"/>
      <c r="M59" s="239"/>
      <c r="N59" s="239"/>
      <c r="O59" s="239"/>
      <c r="P59" s="239"/>
    </row>
    <row r="60" spans="1:16" x14ac:dyDescent="0.25">
      <c r="A60" s="239" t="s">
        <v>616</v>
      </c>
      <c r="B60" s="23" t="s">
        <v>578</v>
      </c>
      <c r="C60" s="14" t="s">
        <v>605</v>
      </c>
      <c r="D60" s="239">
        <f t="shared" si="2"/>
        <v>7</v>
      </c>
      <c r="E60" s="239"/>
      <c r="F60" s="239"/>
      <c r="G60" s="239"/>
      <c r="H60" s="239"/>
      <c r="I60" s="239"/>
      <c r="J60" s="239"/>
      <c r="K60" s="239"/>
      <c r="L60" s="239"/>
      <c r="M60" s="239"/>
      <c r="N60" s="239"/>
      <c r="O60" s="239"/>
      <c r="P60" s="239"/>
    </row>
    <row r="61" spans="1:16" x14ac:dyDescent="0.25">
      <c r="A61" s="239" t="s">
        <v>617</v>
      </c>
      <c r="B61" s="25" t="s">
        <v>579</v>
      </c>
      <c r="C61" s="14" t="s">
        <v>605</v>
      </c>
      <c r="D61" s="239">
        <f t="shared" si="2"/>
        <v>7</v>
      </c>
      <c r="E61" s="239"/>
      <c r="F61" s="239"/>
      <c r="G61" s="239"/>
      <c r="H61" s="239"/>
      <c r="I61" s="239"/>
      <c r="J61" s="239"/>
      <c r="K61" s="239"/>
      <c r="L61" s="239"/>
      <c r="M61" s="239"/>
      <c r="N61" s="239"/>
      <c r="O61" s="239"/>
      <c r="P61" s="239"/>
    </row>
    <row r="62" spans="1:16" x14ac:dyDescent="0.25">
      <c r="A62" s="239" t="s">
        <v>618</v>
      </c>
      <c r="B62" s="23" t="s">
        <v>577</v>
      </c>
      <c r="C62" s="14" t="s">
        <v>605</v>
      </c>
      <c r="D62" s="239">
        <f t="shared" si="2"/>
        <v>7</v>
      </c>
      <c r="E62" s="239"/>
      <c r="F62" s="239"/>
      <c r="G62" s="239"/>
      <c r="H62" s="239"/>
      <c r="I62" s="239"/>
      <c r="J62" s="239"/>
      <c r="K62" s="239"/>
      <c r="L62" s="239"/>
      <c r="M62" s="239"/>
      <c r="N62" s="239"/>
      <c r="O62" s="239"/>
      <c r="P62" s="239"/>
    </row>
    <row r="63" spans="1:16" x14ac:dyDescent="0.25">
      <c r="A63" s="239"/>
      <c r="B63" s="11" t="s">
        <v>584</v>
      </c>
      <c r="C63" s="49" t="s">
        <v>609</v>
      </c>
      <c r="D63" s="239">
        <f t="shared" si="2"/>
        <v>6</v>
      </c>
      <c r="E63" s="239"/>
      <c r="F63" s="239"/>
      <c r="G63" s="239"/>
      <c r="H63" s="239"/>
      <c r="I63" s="239"/>
      <c r="J63" s="239"/>
      <c r="K63" s="239"/>
      <c r="L63" s="239"/>
      <c r="M63" s="239"/>
      <c r="N63" s="239"/>
      <c r="O63" s="239"/>
      <c r="P63" s="239"/>
    </row>
    <row r="64" spans="1:16" ht="22.5" x14ac:dyDescent="0.3">
      <c r="A64" s="239"/>
      <c r="B64" s="106" t="s">
        <v>139</v>
      </c>
      <c r="C64" s="50" t="s">
        <v>594</v>
      </c>
      <c r="D64" s="239">
        <f t="shared" si="2"/>
        <v>6</v>
      </c>
      <c r="E64" s="239"/>
      <c r="F64" s="239"/>
      <c r="G64" s="239"/>
      <c r="H64" s="239"/>
      <c r="I64" s="239"/>
      <c r="J64" s="239"/>
      <c r="K64" s="239"/>
      <c r="L64" s="239"/>
      <c r="M64" s="239"/>
      <c r="N64" s="239"/>
      <c r="O64" s="239"/>
      <c r="P64" s="23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8"/>
  <sheetViews>
    <sheetView topLeftCell="A28" workbookViewId="0">
      <selection activeCell="H21" sqref="H21"/>
    </sheetView>
  </sheetViews>
  <sheetFormatPr defaultRowHeight="15" x14ac:dyDescent="0.25"/>
  <cols>
    <col min="1" max="1" width="20.42578125" customWidth="1"/>
    <col min="2" max="2" width="15.7109375" customWidth="1"/>
    <col min="3" max="3" width="14.5703125" customWidth="1"/>
    <col min="4" max="4" width="20.5703125" customWidth="1"/>
    <col min="5" max="5" width="13.28515625" customWidth="1"/>
    <col min="6" max="6" width="12.42578125" customWidth="1"/>
    <col min="7" max="7" width="9.7109375" customWidth="1"/>
    <col min="8" max="8" width="9.5703125" customWidth="1"/>
  </cols>
  <sheetData>
    <row r="1" spans="1:11" ht="60.75" thickBot="1" x14ac:dyDescent="0.3">
      <c r="A1" s="239"/>
      <c r="B1" s="239"/>
      <c r="C1" s="239"/>
      <c r="D1" s="239"/>
      <c r="E1" s="5" t="s">
        <v>619</v>
      </c>
      <c r="F1" s="5" t="s">
        <v>620</v>
      </c>
      <c r="G1" s="5" t="s">
        <v>621</v>
      </c>
      <c r="H1" s="5" t="s">
        <v>622</v>
      </c>
      <c r="I1" s="5" t="s">
        <v>623</v>
      </c>
      <c r="J1" s="239"/>
      <c r="K1" s="239"/>
    </row>
    <row r="2" spans="1:11" ht="30.75" thickBot="1" x14ac:dyDescent="0.3">
      <c r="A2" s="451" t="s">
        <v>624</v>
      </c>
      <c r="B2" s="6" t="s">
        <v>625</v>
      </c>
      <c r="C2" s="6" t="s">
        <v>626</v>
      </c>
      <c r="D2" s="6" t="s">
        <v>627</v>
      </c>
      <c r="E2" s="239"/>
      <c r="F2" s="239"/>
      <c r="G2" s="239"/>
      <c r="H2" s="239"/>
      <c r="I2" s="239"/>
      <c r="J2" s="239"/>
      <c r="K2" s="239" t="s">
        <v>628</v>
      </c>
    </row>
    <row r="3" spans="1:11" ht="18.75" thickBot="1" x14ac:dyDescent="0.3">
      <c r="A3" s="452"/>
      <c r="B3" s="454" t="s">
        <v>54</v>
      </c>
      <c r="C3" s="454"/>
      <c r="D3" s="369" t="s">
        <v>629</v>
      </c>
      <c r="E3" s="239"/>
      <c r="F3" s="239" t="s">
        <v>630</v>
      </c>
      <c r="G3" s="239"/>
      <c r="H3" s="239" t="s">
        <v>630</v>
      </c>
      <c r="I3" s="239"/>
      <c r="J3" s="239"/>
      <c r="K3" s="239" t="s">
        <v>631</v>
      </c>
    </row>
    <row r="4" spans="1:11" ht="18.75" thickBot="1" x14ac:dyDescent="0.3">
      <c r="A4" s="452"/>
      <c r="B4" s="455"/>
      <c r="C4" s="455"/>
      <c r="D4" s="368" t="s">
        <v>632</v>
      </c>
      <c r="E4" s="239"/>
      <c r="F4" s="239"/>
      <c r="G4" s="239"/>
      <c r="H4" s="239" t="s">
        <v>630</v>
      </c>
      <c r="I4" s="239"/>
      <c r="J4" s="239"/>
      <c r="K4" s="239" t="s">
        <v>633</v>
      </c>
    </row>
    <row r="5" spans="1:11" ht="35.25" thickBot="1" x14ac:dyDescent="0.3">
      <c r="A5" s="452"/>
      <c r="B5" s="455"/>
      <c r="C5" s="455"/>
      <c r="D5" s="7" t="s">
        <v>634</v>
      </c>
      <c r="E5" s="239"/>
      <c r="F5" s="239"/>
      <c r="G5" s="239"/>
      <c r="H5" s="239" t="s">
        <v>630</v>
      </c>
      <c r="I5" s="239"/>
      <c r="J5" s="239"/>
      <c r="K5" s="239"/>
    </row>
    <row r="6" spans="1:11" ht="18.75" thickBot="1" x14ac:dyDescent="0.3">
      <c r="A6" s="452"/>
      <c r="B6" s="455"/>
      <c r="C6" s="455"/>
      <c r="D6" s="368" t="s">
        <v>635</v>
      </c>
      <c r="E6" s="239"/>
      <c r="F6" s="239" t="s">
        <v>630</v>
      </c>
      <c r="G6" s="239"/>
      <c r="H6" s="239" t="s">
        <v>630</v>
      </c>
      <c r="I6" s="239"/>
      <c r="J6" s="239"/>
      <c r="K6" s="239"/>
    </row>
    <row r="7" spans="1:11" ht="18.75" thickBot="1" x14ac:dyDescent="0.3">
      <c r="A7" s="452"/>
      <c r="B7" s="456"/>
      <c r="C7" s="456"/>
      <c r="D7" s="7" t="s">
        <v>636</v>
      </c>
      <c r="E7" s="239"/>
      <c r="F7" s="239" t="s">
        <v>630</v>
      </c>
      <c r="G7" s="239" t="s">
        <v>630</v>
      </c>
      <c r="H7" s="239" t="s">
        <v>630</v>
      </c>
      <c r="I7" s="239" t="s">
        <v>630</v>
      </c>
      <c r="J7" s="239"/>
      <c r="K7" s="239" t="s">
        <v>637</v>
      </c>
    </row>
    <row r="8" spans="1:11" ht="18.75" thickBot="1" x14ac:dyDescent="0.3">
      <c r="A8" s="452"/>
      <c r="B8" s="454" t="s">
        <v>638</v>
      </c>
      <c r="C8" s="454" t="s">
        <v>639</v>
      </c>
      <c r="D8" s="368" t="s">
        <v>640</v>
      </c>
      <c r="E8" s="239"/>
      <c r="F8" s="239"/>
      <c r="G8" s="239"/>
      <c r="H8" s="239"/>
      <c r="I8" s="239"/>
      <c r="J8" s="239"/>
      <c r="K8" s="239"/>
    </row>
    <row r="9" spans="1:11" ht="35.25" thickBot="1" x14ac:dyDescent="0.3">
      <c r="A9" s="452"/>
      <c r="B9" s="455"/>
      <c r="C9" s="455"/>
      <c r="D9" s="7" t="s">
        <v>641</v>
      </c>
      <c r="E9" s="8" t="s">
        <v>630</v>
      </c>
      <c r="F9" s="239"/>
      <c r="G9" s="239" t="s">
        <v>630</v>
      </c>
      <c r="H9" s="239"/>
      <c r="I9" s="239"/>
      <c r="J9" s="239"/>
      <c r="K9" s="239"/>
    </row>
    <row r="10" spans="1:11" ht="35.25" thickBot="1" x14ac:dyDescent="0.3">
      <c r="A10" s="452"/>
      <c r="B10" s="455"/>
      <c r="C10" s="455"/>
      <c r="D10" s="368" t="s">
        <v>642</v>
      </c>
      <c r="E10" s="239" t="s">
        <v>630</v>
      </c>
      <c r="F10" s="239"/>
      <c r="G10" s="239" t="s">
        <v>630</v>
      </c>
      <c r="H10" s="239"/>
      <c r="I10" s="239"/>
      <c r="J10" s="239"/>
      <c r="K10" s="239"/>
    </row>
    <row r="11" spans="1:11" ht="18.75" thickBot="1" x14ac:dyDescent="0.3">
      <c r="A11" s="452"/>
      <c r="B11" s="455"/>
      <c r="C11" s="455"/>
      <c r="D11" s="7" t="s">
        <v>643</v>
      </c>
      <c r="E11" s="239" t="s">
        <v>630</v>
      </c>
      <c r="F11" s="239"/>
      <c r="G11" s="239" t="s">
        <v>630</v>
      </c>
      <c r="H11" s="239"/>
      <c r="I11" s="239"/>
      <c r="J11" s="239"/>
      <c r="K11" s="239"/>
    </row>
    <row r="12" spans="1:11" ht="33.75" thickBot="1" x14ac:dyDescent="0.3">
      <c r="A12" s="452"/>
      <c r="B12" s="455"/>
      <c r="C12" s="455"/>
      <c r="D12" s="368" t="s">
        <v>64</v>
      </c>
      <c r="E12" s="239"/>
      <c r="F12" s="239"/>
      <c r="G12" s="239" t="s">
        <v>630</v>
      </c>
      <c r="H12" s="239"/>
      <c r="I12" s="239"/>
      <c r="J12" s="239"/>
      <c r="K12" s="239"/>
    </row>
    <row r="13" spans="1:11" ht="33.75" thickBot="1" x14ac:dyDescent="0.3">
      <c r="A13" s="452"/>
      <c r="B13" s="455"/>
      <c r="C13" s="455"/>
      <c r="D13" s="7" t="s">
        <v>59</v>
      </c>
      <c r="E13" s="239"/>
      <c r="F13" s="239"/>
      <c r="G13" s="239" t="s">
        <v>630</v>
      </c>
      <c r="H13" s="239"/>
      <c r="I13" s="239"/>
      <c r="J13" s="239"/>
      <c r="K13" s="239"/>
    </row>
    <row r="14" spans="1:11" ht="18.75" thickBot="1" x14ac:dyDescent="0.3">
      <c r="A14" s="452"/>
      <c r="B14" s="455"/>
      <c r="C14" s="455"/>
      <c r="D14" s="368" t="s">
        <v>644</v>
      </c>
      <c r="E14" s="239"/>
      <c r="F14" s="239"/>
      <c r="G14" s="239" t="s">
        <v>630</v>
      </c>
      <c r="H14" s="239"/>
      <c r="I14" s="239"/>
      <c r="J14" s="239"/>
      <c r="K14" s="239"/>
    </row>
    <row r="15" spans="1:11" ht="18.75" thickBot="1" x14ac:dyDescent="0.3">
      <c r="A15" s="452"/>
      <c r="B15" s="455"/>
      <c r="C15" s="456"/>
      <c r="D15" s="7" t="s">
        <v>645</v>
      </c>
      <c r="E15" s="239"/>
      <c r="F15" s="239" t="s">
        <v>630</v>
      </c>
      <c r="G15" s="239" t="s">
        <v>630</v>
      </c>
      <c r="H15" s="239"/>
      <c r="I15" s="239"/>
      <c r="J15" s="239"/>
      <c r="K15" s="239"/>
    </row>
    <row r="16" spans="1:11" ht="17.25" thickBot="1" x14ac:dyDescent="0.3">
      <c r="A16" s="452"/>
      <c r="B16" s="455"/>
      <c r="C16" s="454" t="s">
        <v>646</v>
      </c>
      <c r="D16" s="368" t="s">
        <v>87</v>
      </c>
      <c r="E16" s="239"/>
      <c r="F16" s="239"/>
      <c r="G16" s="239" t="s">
        <v>630</v>
      </c>
      <c r="H16" s="239"/>
      <c r="I16" s="239"/>
      <c r="J16" s="239"/>
      <c r="K16" s="239"/>
    </row>
    <row r="17" spans="1:9" ht="18.75" thickBot="1" x14ac:dyDescent="0.3">
      <c r="A17" s="452"/>
      <c r="B17" s="455"/>
      <c r="C17" s="455"/>
      <c r="D17" s="7" t="s">
        <v>647</v>
      </c>
      <c r="E17" s="239" t="s">
        <v>630</v>
      </c>
      <c r="F17" s="239"/>
      <c r="G17" s="239" t="s">
        <v>630</v>
      </c>
      <c r="H17" s="239"/>
      <c r="I17" s="239" t="s">
        <v>630</v>
      </c>
    </row>
    <row r="18" spans="1:9" ht="17.25" thickBot="1" x14ac:dyDescent="0.3">
      <c r="A18" s="452"/>
      <c r="B18" s="455"/>
      <c r="C18" s="455"/>
      <c r="D18" s="368" t="s">
        <v>88</v>
      </c>
      <c r="E18" s="239"/>
      <c r="F18" s="239"/>
      <c r="G18" s="239" t="s">
        <v>630</v>
      </c>
      <c r="H18" s="239"/>
      <c r="I18" s="239"/>
    </row>
    <row r="19" spans="1:9" ht="18.75" thickBot="1" x14ac:dyDescent="0.3">
      <c r="A19" s="452"/>
      <c r="B19" s="455"/>
      <c r="C19" s="455"/>
      <c r="D19" s="7" t="s">
        <v>648</v>
      </c>
      <c r="E19" s="239"/>
      <c r="F19" s="239"/>
      <c r="G19" s="239"/>
      <c r="H19" s="239"/>
      <c r="I19" s="239"/>
    </row>
    <row r="20" spans="1:9" ht="18.75" thickBot="1" x14ac:dyDescent="0.3">
      <c r="A20" s="452"/>
      <c r="B20" s="455"/>
      <c r="C20" s="455"/>
      <c r="D20" s="368" t="s">
        <v>649</v>
      </c>
      <c r="E20" s="239"/>
      <c r="F20" s="239"/>
      <c r="G20" s="239"/>
      <c r="H20" s="239"/>
      <c r="I20" s="239"/>
    </row>
    <row r="21" spans="1:9" ht="18.75" thickBot="1" x14ac:dyDescent="0.3">
      <c r="A21" s="452"/>
      <c r="B21" s="455"/>
      <c r="C21" s="455"/>
      <c r="D21" s="7" t="s">
        <v>650</v>
      </c>
      <c r="E21" s="239" t="s">
        <v>630</v>
      </c>
      <c r="F21" s="239"/>
      <c r="G21" s="239" t="s">
        <v>630</v>
      </c>
      <c r="H21" s="239"/>
      <c r="I21" s="239" t="s">
        <v>630</v>
      </c>
    </row>
    <row r="22" spans="1:9" ht="18.75" thickBot="1" x14ac:dyDescent="0.3">
      <c r="A22" s="452"/>
      <c r="B22" s="455"/>
      <c r="C22" s="455"/>
      <c r="D22" s="368" t="s">
        <v>651</v>
      </c>
      <c r="E22" s="239"/>
      <c r="F22" s="239" t="s">
        <v>630</v>
      </c>
      <c r="G22" s="239" t="s">
        <v>630</v>
      </c>
      <c r="H22" s="239"/>
      <c r="I22" s="239"/>
    </row>
    <row r="23" spans="1:9" ht="18.75" thickBot="1" x14ac:dyDescent="0.3">
      <c r="A23" s="452"/>
      <c r="B23" s="455"/>
      <c r="C23" s="455"/>
      <c r="D23" s="7" t="s">
        <v>652</v>
      </c>
      <c r="E23" s="239" t="s">
        <v>630</v>
      </c>
      <c r="F23" s="239"/>
      <c r="G23" s="239" t="s">
        <v>630</v>
      </c>
      <c r="H23" s="239"/>
      <c r="I23" s="239" t="s">
        <v>630</v>
      </c>
    </row>
    <row r="24" spans="1:9" ht="18.75" thickBot="1" x14ac:dyDescent="0.3">
      <c r="A24" s="452"/>
      <c r="B24" s="455"/>
      <c r="C24" s="455"/>
      <c r="D24" s="368" t="s">
        <v>653</v>
      </c>
      <c r="E24" s="239"/>
      <c r="F24" s="239" t="s">
        <v>630</v>
      </c>
      <c r="G24" s="239"/>
      <c r="H24" s="239"/>
      <c r="I24" s="239"/>
    </row>
    <row r="25" spans="1:9" ht="18.75" thickBot="1" x14ac:dyDescent="0.3">
      <c r="A25" s="452"/>
      <c r="B25" s="455"/>
      <c r="C25" s="455"/>
      <c r="D25" s="7" t="s">
        <v>654</v>
      </c>
      <c r="E25" s="239"/>
      <c r="F25" s="239"/>
      <c r="G25" s="239" t="s">
        <v>630</v>
      </c>
      <c r="H25" s="239"/>
      <c r="I25" s="239"/>
    </row>
    <row r="26" spans="1:9" ht="18.75" thickBot="1" x14ac:dyDescent="0.3">
      <c r="A26" s="452"/>
      <c r="B26" s="455"/>
      <c r="C26" s="455"/>
      <c r="D26" s="368" t="s">
        <v>655</v>
      </c>
      <c r="E26" s="239"/>
      <c r="F26" s="239"/>
      <c r="G26" s="239" t="s">
        <v>630</v>
      </c>
      <c r="H26" s="239"/>
      <c r="I26" s="239"/>
    </row>
    <row r="27" spans="1:9" ht="18.75" thickBot="1" x14ac:dyDescent="0.3">
      <c r="A27" s="452"/>
      <c r="B27" s="455"/>
      <c r="C27" s="455"/>
      <c r="D27" s="7" t="s">
        <v>656</v>
      </c>
      <c r="E27" s="239"/>
      <c r="F27" s="239"/>
      <c r="G27" s="239"/>
      <c r="H27" s="239"/>
      <c r="I27" s="239"/>
    </row>
    <row r="28" spans="1:9" ht="17.25" thickBot="1" x14ac:dyDescent="0.3">
      <c r="A28" s="452"/>
      <c r="B28" s="455"/>
      <c r="C28" s="455"/>
      <c r="D28" s="368" t="s">
        <v>93</v>
      </c>
      <c r="E28" s="239"/>
      <c r="F28" s="239"/>
      <c r="G28" s="239" t="s">
        <v>630</v>
      </c>
      <c r="H28" s="239"/>
      <c r="I28" s="239"/>
    </row>
    <row r="29" spans="1:9" ht="18.75" thickBot="1" x14ac:dyDescent="0.3">
      <c r="A29" s="452"/>
      <c r="B29" s="455"/>
      <c r="C29" s="456"/>
      <c r="D29" s="7" t="s">
        <v>657</v>
      </c>
      <c r="E29" s="239" t="s">
        <v>630</v>
      </c>
      <c r="F29" s="239"/>
      <c r="G29" s="239" t="s">
        <v>630</v>
      </c>
      <c r="H29" s="239"/>
      <c r="I29" s="239" t="s">
        <v>630</v>
      </c>
    </row>
    <row r="30" spans="1:9" ht="35.25" thickBot="1" x14ac:dyDescent="0.3">
      <c r="A30" s="452"/>
      <c r="B30" s="455"/>
      <c r="C30" s="454" t="s">
        <v>56</v>
      </c>
      <c r="D30" s="368" t="s">
        <v>658</v>
      </c>
      <c r="E30" s="239" t="s">
        <v>630</v>
      </c>
      <c r="F30" s="239" t="s">
        <v>630</v>
      </c>
      <c r="G30" s="239" t="s">
        <v>630</v>
      </c>
      <c r="H30" s="239"/>
      <c r="I30" s="239" t="s">
        <v>630</v>
      </c>
    </row>
    <row r="31" spans="1:9" ht="18.75" thickBot="1" x14ac:dyDescent="0.3">
      <c r="A31" s="452"/>
      <c r="B31" s="455"/>
      <c r="C31" s="455"/>
      <c r="D31" s="7" t="s">
        <v>659</v>
      </c>
      <c r="E31" s="239" t="s">
        <v>630</v>
      </c>
      <c r="F31" s="239"/>
      <c r="G31" s="239" t="s">
        <v>630</v>
      </c>
      <c r="H31" s="239"/>
      <c r="I31" s="239"/>
    </row>
    <row r="32" spans="1:9" ht="18.75" thickBot="1" x14ac:dyDescent="0.3">
      <c r="A32" s="452"/>
      <c r="B32" s="455"/>
      <c r="C32" s="455"/>
      <c r="D32" s="368" t="s">
        <v>660</v>
      </c>
      <c r="E32" s="239" t="s">
        <v>630</v>
      </c>
      <c r="F32" s="239"/>
      <c r="G32" s="239" t="s">
        <v>630</v>
      </c>
      <c r="H32" s="239"/>
      <c r="I32" s="239" t="s">
        <v>630</v>
      </c>
    </row>
    <row r="33" spans="1:9" ht="18.75" thickBot="1" x14ac:dyDescent="0.3">
      <c r="A33" s="452"/>
      <c r="B33" s="455"/>
      <c r="C33" s="455"/>
      <c r="D33" s="7" t="s">
        <v>661</v>
      </c>
      <c r="E33" s="239" t="s">
        <v>630</v>
      </c>
      <c r="F33" s="239"/>
      <c r="G33" s="239" t="s">
        <v>630</v>
      </c>
      <c r="H33" s="239"/>
      <c r="I33" s="239" t="s">
        <v>630</v>
      </c>
    </row>
    <row r="34" spans="1:9" ht="35.25" thickBot="1" x14ac:dyDescent="0.3">
      <c r="A34" s="452"/>
      <c r="B34" s="455"/>
      <c r="C34" s="455"/>
      <c r="D34" s="368" t="s">
        <v>662</v>
      </c>
      <c r="E34" s="239"/>
      <c r="F34" s="239" t="s">
        <v>630</v>
      </c>
      <c r="G34" s="239"/>
      <c r="H34" s="239"/>
      <c r="I34" s="239"/>
    </row>
    <row r="35" spans="1:9" ht="35.25" thickBot="1" x14ac:dyDescent="0.3">
      <c r="A35" s="452"/>
      <c r="B35" s="455"/>
      <c r="C35" s="455"/>
      <c r="D35" s="7" t="s">
        <v>663</v>
      </c>
      <c r="E35" s="239" t="s">
        <v>630</v>
      </c>
      <c r="F35" s="239"/>
      <c r="G35" s="239" t="s">
        <v>630</v>
      </c>
      <c r="H35" s="239"/>
      <c r="I35" s="239"/>
    </row>
    <row r="36" spans="1:9" ht="18.75" thickBot="1" x14ac:dyDescent="0.3">
      <c r="A36" s="452"/>
      <c r="B36" s="455"/>
      <c r="C36" s="456"/>
      <c r="D36" s="368" t="s">
        <v>664</v>
      </c>
      <c r="E36" s="239" t="s">
        <v>630</v>
      </c>
      <c r="F36" s="239"/>
      <c r="G36" s="239" t="s">
        <v>630</v>
      </c>
      <c r="H36" s="239"/>
      <c r="I36" s="239"/>
    </row>
    <row r="37" spans="1:9" ht="17.25" thickBot="1" x14ac:dyDescent="0.3">
      <c r="A37" s="452"/>
      <c r="B37" s="455"/>
      <c r="C37" s="454" t="s">
        <v>665</v>
      </c>
      <c r="D37" s="7" t="s">
        <v>73</v>
      </c>
      <c r="E37" s="239" t="s">
        <v>630</v>
      </c>
      <c r="F37" s="239" t="s">
        <v>630</v>
      </c>
      <c r="G37" s="239" t="s">
        <v>630</v>
      </c>
      <c r="H37" s="239"/>
      <c r="I37" s="239"/>
    </row>
    <row r="38" spans="1:9" ht="17.25" thickBot="1" x14ac:dyDescent="0.3">
      <c r="A38" s="452"/>
      <c r="B38" s="455"/>
      <c r="C38" s="457"/>
      <c r="D38" s="368" t="s">
        <v>278</v>
      </c>
      <c r="E38" s="239" t="s">
        <v>630</v>
      </c>
      <c r="F38" s="239" t="s">
        <v>630</v>
      </c>
      <c r="G38" s="239" t="s">
        <v>630</v>
      </c>
      <c r="H38" s="239"/>
      <c r="I38" s="239"/>
    </row>
    <row r="39" spans="1:9" ht="17.25" thickBot="1" x14ac:dyDescent="0.3">
      <c r="A39" s="452"/>
      <c r="B39" s="455"/>
      <c r="C39" s="456"/>
      <c r="D39" s="7" t="s">
        <v>16</v>
      </c>
      <c r="E39" s="239" t="s">
        <v>630</v>
      </c>
      <c r="F39" s="239"/>
      <c r="G39" s="239" t="s">
        <v>630</v>
      </c>
      <c r="H39" s="239"/>
      <c r="I39" s="239"/>
    </row>
    <row r="40" spans="1:9" ht="68.25" thickBot="1" x14ac:dyDescent="0.3">
      <c r="A40" s="452"/>
      <c r="B40" s="455"/>
      <c r="C40" s="368" t="s">
        <v>666</v>
      </c>
      <c r="D40" s="368" t="s">
        <v>86</v>
      </c>
      <c r="E40" s="239"/>
      <c r="F40" s="239"/>
      <c r="G40" s="239"/>
      <c r="H40" s="239"/>
      <c r="I40" s="239"/>
    </row>
    <row r="41" spans="1:9" ht="51.75" thickBot="1" x14ac:dyDescent="0.3">
      <c r="A41" s="452"/>
      <c r="B41" s="455"/>
      <c r="C41" s="7" t="s">
        <v>667</v>
      </c>
      <c r="D41" s="7" t="s">
        <v>85</v>
      </c>
      <c r="E41" s="239"/>
      <c r="F41" s="239"/>
      <c r="G41" s="239"/>
      <c r="H41" s="239"/>
      <c r="I41" s="239"/>
    </row>
    <row r="42" spans="1:9" ht="17.25" thickBot="1" x14ac:dyDescent="0.3">
      <c r="A42" s="452"/>
      <c r="B42" s="455"/>
      <c r="C42" s="454" t="s">
        <v>668</v>
      </c>
      <c r="D42" s="368" t="s">
        <v>84</v>
      </c>
      <c r="E42" s="239"/>
      <c r="F42" s="239"/>
      <c r="G42" s="239"/>
      <c r="H42" s="239"/>
      <c r="I42" s="239"/>
    </row>
    <row r="43" spans="1:9" ht="17.25" thickBot="1" x14ac:dyDescent="0.3">
      <c r="A43" s="453"/>
      <c r="B43" s="456"/>
      <c r="C43" s="456"/>
      <c r="D43" s="7" t="s">
        <v>669</v>
      </c>
      <c r="E43" s="239"/>
      <c r="F43" s="239"/>
      <c r="G43" s="239"/>
      <c r="H43" s="239"/>
      <c r="I43" s="239"/>
    </row>
    <row r="44" spans="1:9" x14ac:dyDescent="0.25">
      <c r="A44" s="9" t="s">
        <v>670</v>
      </c>
      <c r="B44" s="9" t="s">
        <v>671</v>
      </c>
      <c r="C44" s="239"/>
      <c r="D44" s="239"/>
      <c r="E44" s="239"/>
      <c r="F44" s="239"/>
      <c r="G44" s="239"/>
      <c r="H44" s="239"/>
      <c r="I44" s="239"/>
    </row>
    <row r="45" spans="1:9" x14ac:dyDescent="0.25">
      <c r="A45" s="9"/>
      <c r="B45" s="9" t="s">
        <v>672</v>
      </c>
      <c r="C45" s="239"/>
      <c r="D45" s="239"/>
      <c r="E45" s="239"/>
      <c r="F45" s="239"/>
      <c r="G45" s="239"/>
      <c r="H45" s="239"/>
      <c r="I45" s="239"/>
    </row>
    <row r="46" spans="1:9" x14ac:dyDescent="0.25">
      <c r="A46" s="239"/>
      <c r="B46" s="9" t="s">
        <v>673</v>
      </c>
      <c r="C46" s="239"/>
      <c r="D46" s="239"/>
      <c r="E46" s="239"/>
      <c r="F46" s="239"/>
      <c r="G46" s="239"/>
      <c r="H46" s="239"/>
      <c r="I46" s="239"/>
    </row>
    <row r="47" spans="1:9" x14ac:dyDescent="0.25">
      <c r="A47" s="239"/>
      <c r="B47" s="9" t="s">
        <v>674</v>
      </c>
      <c r="C47" s="239"/>
      <c r="D47" s="10" t="s">
        <v>675</v>
      </c>
      <c r="E47" s="239"/>
      <c r="F47" s="239"/>
      <c r="G47" s="239"/>
      <c r="H47" s="239"/>
      <c r="I47" s="239"/>
    </row>
    <row r="48" spans="1:9" ht="50.25" customHeight="1" x14ac:dyDescent="0.25">
      <c r="A48" s="239"/>
      <c r="B48" s="239"/>
      <c r="C48" s="239"/>
      <c r="D48" s="239"/>
      <c r="E48" s="239"/>
      <c r="F48" s="239"/>
      <c r="G48" s="239"/>
      <c r="H48" s="239"/>
      <c r="I48" s="239"/>
    </row>
  </sheetData>
  <sheetProtection selectLockedCells="1" selectUnlockedCells="1"/>
  <customSheetViews>
    <customSheetView guid="{00D01216-4B44-433C-B036-BE1A6969F2B5}">
      <selection activeCell="I5" sqref="I5"/>
      <pageMargins left="0" right="0" top="0" bottom="0" header="0" footer="0"/>
    </customSheetView>
  </customSheetViews>
  <mergeCells count="9">
    <mergeCell ref="A2:A43"/>
    <mergeCell ref="B3:B7"/>
    <mergeCell ref="C3:C7"/>
    <mergeCell ref="B8:B43"/>
    <mergeCell ref="C8:C15"/>
    <mergeCell ref="C16:C29"/>
    <mergeCell ref="C30:C36"/>
    <mergeCell ref="C37:C39"/>
    <mergeCell ref="C42:C43"/>
  </mergeCells>
  <hyperlinks>
    <hyperlink ref="D47" r:id="rId1" xr:uid="{00000000-0004-0000-03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D332-FCC5-40AD-AE51-614F601DA963}">
  <dimension ref="A1:P142"/>
  <sheetViews>
    <sheetView topLeftCell="A79" workbookViewId="0">
      <selection activeCell="H100" sqref="H100"/>
    </sheetView>
  </sheetViews>
  <sheetFormatPr defaultRowHeight="15" x14ac:dyDescent="0.25"/>
  <cols>
    <col min="1" max="1" width="26.85546875" customWidth="1"/>
    <col min="2" max="2" width="20.140625" customWidth="1"/>
    <col min="3" max="4" width="13.42578125" style="18" customWidth="1"/>
    <col min="5" max="5" width="23" customWidth="1"/>
    <col min="10" max="10" width="18.5703125" customWidth="1"/>
    <col min="15" max="15" width="18.5703125" customWidth="1"/>
    <col min="16" max="16" width="17.7109375" style="65" customWidth="1"/>
  </cols>
  <sheetData>
    <row r="1" spans="1:15" ht="16.5" thickBot="1" x14ac:dyDescent="0.3">
      <c r="A1" s="237" t="s">
        <v>585</v>
      </c>
      <c r="B1" s="237" t="s">
        <v>676</v>
      </c>
      <c r="C1" s="239" t="s">
        <v>677</v>
      </c>
      <c r="D1" s="239" t="s">
        <v>678</v>
      </c>
      <c r="E1" s="239" t="s">
        <v>679</v>
      </c>
      <c r="F1" s="239" t="s">
        <v>680</v>
      </c>
      <c r="G1" s="239" t="s">
        <v>681</v>
      </c>
      <c r="H1" s="239" t="s">
        <v>682</v>
      </c>
      <c r="I1" s="5" t="s">
        <v>683</v>
      </c>
      <c r="J1" s="239"/>
      <c r="K1" s="239"/>
      <c r="L1" s="239"/>
      <c r="M1" s="239"/>
      <c r="N1" s="239"/>
      <c r="O1" s="239"/>
    </row>
    <row r="2" spans="1:15" x14ac:dyDescent="0.25">
      <c r="A2" s="239" t="s">
        <v>145</v>
      </c>
      <c r="B2" s="280">
        <v>44341.671134259261</v>
      </c>
      <c r="C2" s="239" t="s">
        <v>684</v>
      </c>
      <c r="D2" s="239">
        <v>2.9</v>
      </c>
      <c r="E2" s="239">
        <v>1.41</v>
      </c>
      <c r="F2" s="239">
        <v>0.12</v>
      </c>
      <c r="G2" s="239">
        <f>E2*F2*6/D2</f>
        <v>0.35006896551724137</v>
      </c>
      <c r="H2" s="239"/>
      <c r="I2" s="239"/>
      <c r="J2" s="239"/>
      <c r="K2" s="239"/>
      <c r="L2" s="239"/>
      <c r="M2" s="239"/>
      <c r="N2" s="239"/>
      <c r="O2" s="239"/>
    </row>
    <row r="3" spans="1:15" x14ac:dyDescent="0.25">
      <c r="A3" s="239" t="s">
        <v>144</v>
      </c>
      <c r="B3" s="280">
        <v>44341.696932870371</v>
      </c>
      <c r="C3" s="239" t="s">
        <v>684</v>
      </c>
      <c r="D3" s="239">
        <v>21</v>
      </c>
      <c r="E3" s="239">
        <v>3.48</v>
      </c>
      <c r="F3" s="239">
        <v>0.49</v>
      </c>
      <c r="G3" s="239">
        <f>E3*F3*6/D3</f>
        <v>0.48720000000000008</v>
      </c>
      <c r="H3" s="283"/>
      <c r="I3" s="239"/>
      <c r="J3" s="239"/>
      <c r="K3" s="239"/>
      <c r="L3" s="239"/>
      <c r="M3" s="239"/>
      <c r="N3" s="239"/>
      <c r="O3" s="239"/>
    </row>
    <row r="4" spans="1:15" x14ac:dyDescent="0.25">
      <c r="A4" s="281" t="s">
        <v>148</v>
      </c>
      <c r="B4" s="282">
        <v>44341.711365740739</v>
      </c>
      <c r="C4" s="281" t="s">
        <v>684</v>
      </c>
      <c r="D4" s="281">
        <v>6</v>
      </c>
      <c r="E4" s="281">
        <v>0.15</v>
      </c>
      <c r="F4" s="281">
        <v>1.7</v>
      </c>
      <c r="G4" s="281">
        <f>E4*F4*6/D4</f>
        <v>0.255</v>
      </c>
      <c r="H4" s="281"/>
      <c r="I4" s="239"/>
      <c r="J4" s="239"/>
      <c r="K4" s="239"/>
      <c r="L4" s="239"/>
      <c r="M4" s="239"/>
      <c r="N4" s="239"/>
      <c r="O4" s="239"/>
    </row>
    <row r="5" spans="1:15" x14ac:dyDescent="0.25">
      <c r="A5" s="239" t="s">
        <v>149</v>
      </c>
      <c r="B5" s="280">
        <v>44341.743125000001</v>
      </c>
      <c r="C5" s="239" t="s">
        <v>684</v>
      </c>
      <c r="D5" s="239">
        <v>2.19</v>
      </c>
      <c r="E5" s="239">
        <v>1</v>
      </c>
      <c r="F5" s="239">
        <v>7.0000000000000007E-2</v>
      </c>
      <c r="G5" s="239">
        <f>E5*F5*6/D5</f>
        <v>0.19178082191780824</v>
      </c>
      <c r="H5" s="239"/>
      <c r="I5" s="239"/>
      <c r="J5" s="239"/>
      <c r="K5" s="239"/>
      <c r="L5" s="239"/>
      <c r="M5" s="239"/>
      <c r="N5" s="239"/>
      <c r="O5" s="239"/>
    </row>
    <row r="6" spans="1:15" x14ac:dyDescent="0.25">
      <c r="A6" s="239" t="s">
        <v>146</v>
      </c>
      <c r="B6" s="280">
        <v>44341.745462962957</v>
      </c>
      <c r="C6" s="239" t="s">
        <v>684</v>
      </c>
      <c r="D6" s="239">
        <v>8</v>
      </c>
      <c r="E6" s="239">
        <v>3</v>
      </c>
      <c r="F6" s="239">
        <v>0.04</v>
      </c>
      <c r="G6" s="239">
        <f>E6*F6*6/D6</f>
        <v>0.09</v>
      </c>
      <c r="H6" s="239"/>
      <c r="I6" s="239"/>
      <c r="J6" s="239"/>
      <c r="K6" s="239"/>
      <c r="L6" s="239"/>
      <c r="M6" s="239"/>
      <c r="N6" s="239"/>
      <c r="O6" s="239"/>
    </row>
    <row r="7" spans="1:15" x14ac:dyDescent="0.25">
      <c r="A7" s="239" t="s">
        <v>261</v>
      </c>
      <c r="B7" s="280">
        <v>44341.771261574067</v>
      </c>
      <c r="C7" s="239" t="s">
        <v>685</v>
      </c>
      <c r="D7" s="239">
        <v>0</v>
      </c>
      <c r="E7" s="239">
        <v>0</v>
      </c>
      <c r="F7" s="239">
        <v>0</v>
      </c>
      <c r="G7" s="239">
        <v>0</v>
      </c>
      <c r="H7" s="239"/>
      <c r="I7" s="239"/>
      <c r="J7" s="239"/>
      <c r="K7" s="239"/>
      <c r="L7" s="239"/>
      <c r="M7" s="239"/>
      <c r="N7" s="239"/>
      <c r="O7" s="239"/>
    </row>
    <row r="8" spans="1:15" ht="22.5" x14ac:dyDescent="0.25">
      <c r="A8" s="309" t="s">
        <v>134</v>
      </c>
      <c r="B8" s="280">
        <v>44341.785254629627</v>
      </c>
      <c r="C8" s="239" t="s">
        <v>685</v>
      </c>
      <c r="D8" s="239">
        <v>0</v>
      </c>
      <c r="E8" s="239">
        <v>0</v>
      </c>
      <c r="F8" s="239">
        <v>0</v>
      </c>
      <c r="G8" s="239">
        <v>0</v>
      </c>
      <c r="H8" s="283">
        <v>0</v>
      </c>
      <c r="I8" s="239"/>
      <c r="J8" s="239"/>
      <c r="K8" s="239"/>
      <c r="L8" s="239"/>
      <c r="M8" s="239"/>
      <c r="N8" s="239"/>
      <c r="O8" s="239"/>
    </row>
    <row r="9" spans="1:15" x14ac:dyDescent="0.25">
      <c r="A9" s="239" t="s">
        <v>150</v>
      </c>
      <c r="B9" s="280">
        <v>44341.790694444448</v>
      </c>
      <c r="C9" s="239" t="s">
        <v>684</v>
      </c>
      <c r="D9" s="239">
        <v>7</v>
      </c>
      <c r="E9" s="239">
        <v>1.6</v>
      </c>
      <c r="F9" s="239">
        <v>0.1</v>
      </c>
      <c r="G9" s="239">
        <f>E9*F9*6/D9</f>
        <v>0.13714285714285718</v>
      </c>
      <c r="H9" s="283"/>
      <c r="I9" s="239"/>
      <c r="J9" s="239"/>
      <c r="K9" s="239"/>
      <c r="L9" s="239"/>
      <c r="M9" s="239"/>
      <c r="N9" s="239"/>
      <c r="O9" s="239"/>
    </row>
    <row r="10" spans="1:15" x14ac:dyDescent="0.25">
      <c r="A10" s="239" t="s">
        <v>136</v>
      </c>
      <c r="B10" s="280">
        <v>44341.801412037043</v>
      </c>
      <c r="C10" s="239" t="s">
        <v>685</v>
      </c>
      <c r="D10" s="239">
        <v>0</v>
      </c>
      <c r="E10" s="239">
        <v>0</v>
      </c>
      <c r="F10" s="239">
        <v>0</v>
      </c>
      <c r="G10" s="239">
        <v>0</v>
      </c>
      <c r="H10" s="283"/>
      <c r="I10" s="239"/>
      <c r="J10" s="239"/>
      <c r="K10" s="239"/>
      <c r="L10" s="239"/>
      <c r="M10" s="239"/>
      <c r="N10" s="239"/>
      <c r="O10" s="239"/>
    </row>
    <row r="11" spans="1:15" x14ac:dyDescent="0.25">
      <c r="A11" s="239" t="s">
        <v>133</v>
      </c>
      <c r="B11" s="280">
        <v>44341.82603009259</v>
      </c>
      <c r="C11" s="239" t="s">
        <v>684</v>
      </c>
      <c r="D11" s="239">
        <v>12</v>
      </c>
      <c r="E11" s="239">
        <v>0.2</v>
      </c>
      <c r="F11" s="239">
        <v>0.02</v>
      </c>
      <c r="G11" s="239">
        <f t="shared" ref="G11:G25" si="0">E11*F11*6/D11</f>
        <v>2E-3</v>
      </c>
      <c r="H11" s="283"/>
      <c r="I11" s="239"/>
      <c r="J11" s="239"/>
      <c r="K11" s="239"/>
      <c r="L11" s="239"/>
      <c r="M11" s="239"/>
      <c r="N11" s="239"/>
      <c r="O11" s="239"/>
    </row>
    <row r="12" spans="1:15" x14ac:dyDescent="0.25">
      <c r="A12" s="239" t="s">
        <v>104</v>
      </c>
      <c r="B12" s="280">
        <v>44342.619502314818</v>
      </c>
      <c r="C12" s="239" t="s">
        <v>684</v>
      </c>
      <c r="D12" s="239">
        <v>6</v>
      </c>
      <c r="E12" s="239">
        <v>1.5</v>
      </c>
      <c r="F12" s="239">
        <v>0.06</v>
      </c>
      <c r="G12" s="239">
        <f t="shared" si="0"/>
        <v>9.0000000000000011E-2</v>
      </c>
      <c r="H12" s="239">
        <v>3.5999999999999997E-2</v>
      </c>
      <c r="I12" s="239"/>
      <c r="J12" s="239"/>
      <c r="K12" s="239"/>
      <c r="L12" s="239"/>
      <c r="M12" s="239"/>
      <c r="N12" s="239"/>
      <c r="O12" s="239"/>
    </row>
    <row r="13" spans="1:15" x14ac:dyDescent="0.25">
      <c r="A13" s="239" t="s">
        <v>109</v>
      </c>
      <c r="B13" s="280">
        <v>44342.637962962966</v>
      </c>
      <c r="C13" s="239" t="s">
        <v>684</v>
      </c>
      <c r="D13" s="239">
        <v>2.52</v>
      </c>
      <c r="E13" s="239">
        <v>1.1000000000000001</v>
      </c>
      <c r="F13" s="239">
        <v>0.06</v>
      </c>
      <c r="G13" s="239">
        <f t="shared" si="0"/>
        <v>0.15714285714285714</v>
      </c>
      <c r="H13" s="283"/>
      <c r="I13" s="239"/>
      <c r="J13" s="239"/>
      <c r="K13" s="239"/>
      <c r="L13" s="239"/>
      <c r="M13" s="239"/>
      <c r="N13" s="239"/>
      <c r="O13" s="239"/>
    </row>
    <row r="14" spans="1:15" x14ac:dyDescent="0.25">
      <c r="A14" s="239" t="s">
        <v>101</v>
      </c>
      <c r="B14" s="280">
        <v>44342.64340277778</v>
      </c>
      <c r="C14" s="239" t="s">
        <v>684</v>
      </c>
      <c r="D14" s="239">
        <v>5</v>
      </c>
      <c r="E14" s="239">
        <v>0.8</v>
      </c>
      <c r="F14" s="239">
        <v>0.04</v>
      </c>
      <c r="G14" s="239">
        <f t="shared" si="0"/>
        <v>3.8400000000000004E-2</v>
      </c>
      <c r="H14" s="239">
        <v>2.5999999999999999E-2</v>
      </c>
      <c r="I14" s="239"/>
      <c r="J14" s="239"/>
      <c r="K14" s="239"/>
      <c r="L14" s="239"/>
      <c r="M14" s="239"/>
      <c r="N14" s="239"/>
      <c r="O14" s="239"/>
    </row>
    <row r="15" spans="1:15" x14ac:dyDescent="0.25">
      <c r="A15" s="239" t="s">
        <v>106</v>
      </c>
      <c r="B15" s="280">
        <v>44342.657187500001</v>
      </c>
      <c r="C15" s="239" t="s">
        <v>684</v>
      </c>
      <c r="D15" s="239">
        <v>21</v>
      </c>
      <c r="E15" s="239">
        <v>3.85</v>
      </c>
      <c r="F15" s="239">
        <v>0.5</v>
      </c>
      <c r="G15" s="239">
        <f t="shared" si="0"/>
        <v>0.55000000000000004</v>
      </c>
      <c r="H15" s="283" t="s">
        <v>686</v>
      </c>
      <c r="I15" s="239"/>
      <c r="J15" s="239"/>
      <c r="K15" s="239"/>
      <c r="L15" s="239"/>
      <c r="M15" s="239"/>
      <c r="N15" s="239"/>
      <c r="O15" s="239"/>
    </row>
    <row r="16" spans="1:15" x14ac:dyDescent="0.25">
      <c r="A16" s="239" t="s">
        <v>111</v>
      </c>
      <c r="B16" s="280">
        <v>44342.665694444448</v>
      </c>
      <c r="C16" s="239" t="s">
        <v>684</v>
      </c>
      <c r="D16" s="239">
        <v>3.48</v>
      </c>
      <c r="E16" s="239">
        <v>1.25</v>
      </c>
      <c r="F16" s="239">
        <v>7.0000000000000007E-2</v>
      </c>
      <c r="G16" s="239">
        <f t="shared" si="0"/>
        <v>0.15086206896551724</v>
      </c>
      <c r="H16" s="283"/>
      <c r="I16" s="239"/>
      <c r="J16" s="239"/>
      <c r="K16" s="239"/>
      <c r="L16" s="239"/>
      <c r="M16" s="239"/>
      <c r="N16" s="239"/>
      <c r="O16" s="239"/>
    </row>
    <row r="17" spans="1:8" x14ac:dyDescent="0.25">
      <c r="A17" s="239" t="s">
        <v>105</v>
      </c>
      <c r="B17" s="280">
        <v>44342.672916666677</v>
      </c>
      <c r="C17" s="239" t="s">
        <v>684</v>
      </c>
      <c r="D17" s="239">
        <v>8</v>
      </c>
      <c r="E17" s="239">
        <v>1.1000000000000001</v>
      </c>
      <c r="F17" s="239">
        <v>0.05</v>
      </c>
      <c r="G17" s="239">
        <f t="shared" si="0"/>
        <v>4.1250000000000009E-2</v>
      </c>
      <c r="H17" s="239">
        <v>0.03</v>
      </c>
    </row>
    <row r="18" spans="1:8" x14ac:dyDescent="0.25">
      <c r="A18" s="239" t="s">
        <v>107</v>
      </c>
      <c r="B18" s="280">
        <v>44342.677997685183</v>
      </c>
      <c r="C18" s="239" t="s">
        <v>684</v>
      </c>
      <c r="D18" s="239">
        <v>11</v>
      </c>
      <c r="E18" s="239">
        <v>7.4</v>
      </c>
      <c r="F18" s="239">
        <v>0.1</v>
      </c>
      <c r="G18" s="239">
        <f t="shared" si="0"/>
        <v>0.40363636363636368</v>
      </c>
      <c r="H18" s="239">
        <v>2.02</v>
      </c>
    </row>
    <row r="19" spans="1:8" x14ac:dyDescent="0.25">
      <c r="A19" s="239" t="s">
        <v>112</v>
      </c>
      <c r="B19" s="280">
        <v>44342.719386574077</v>
      </c>
      <c r="C19" s="239" t="s">
        <v>684</v>
      </c>
      <c r="D19" s="239">
        <v>1.52</v>
      </c>
      <c r="E19" s="239">
        <v>2.08</v>
      </c>
      <c r="F19" s="239">
        <v>9.8000000000000004E-2</v>
      </c>
      <c r="G19" s="239">
        <f t="shared" si="0"/>
        <v>0.80463157894736848</v>
      </c>
      <c r="H19" s="283"/>
    </row>
    <row r="20" spans="1:8" x14ac:dyDescent="0.25">
      <c r="A20" s="239" t="s">
        <v>110</v>
      </c>
      <c r="B20" s="280">
        <v>44342.723263888889</v>
      </c>
      <c r="C20" s="239" t="s">
        <v>684</v>
      </c>
      <c r="D20" s="239">
        <v>4</v>
      </c>
      <c r="E20" s="239">
        <v>0.7</v>
      </c>
      <c r="F20" s="239">
        <v>0.04</v>
      </c>
      <c r="G20" s="239">
        <f t="shared" si="0"/>
        <v>4.1999999999999996E-2</v>
      </c>
      <c r="H20" s="239">
        <v>4.9000000000000002E-2</v>
      </c>
    </row>
    <row r="21" spans="1:8" x14ac:dyDescent="0.25">
      <c r="A21" s="239" t="s">
        <v>113</v>
      </c>
      <c r="B21" s="280">
        <v>44342.754502314812</v>
      </c>
      <c r="C21" s="239" t="s">
        <v>684</v>
      </c>
      <c r="D21" s="239">
        <v>4.3899999999999997</v>
      </c>
      <c r="E21" s="239">
        <v>1.66</v>
      </c>
      <c r="F21" s="239">
        <v>7.0000000000000007E-2</v>
      </c>
      <c r="G21" s="239">
        <f t="shared" si="0"/>
        <v>0.15881548974943055</v>
      </c>
      <c r="H21" s="283"/>
    </row>
    <row r="22" spans="1:8" x14ac:dyDescent="0.25">
      <c r="A22" s="239" t="s">
        <v>108</v>
      </c>
      <c r="B22" s="280">
        <v>44342.754907407398</v>
      </c>
      <c r="C22" s="239" t="s">
        <v>684</v>
      </c>
      <c r="D22" s="239">
        <v>4</v>
      </c>
      <c r="E22" s="239">
        <v>1.2</v>
      </c>
      <c r="F22" s="239">
        <v>7.0000000000000007E-2</v>
      </c>
      <c r="G22" s="239">
        <f t="shared" si="0"/>
        <v>0.126</v>
      </c>
      <c r="H22" s="239">
        <v>5.8000000000000003E-2</v>
      </c>
    </row>
    <row r="23" spans="1:8" x14ac:dyDescent="0.25">
      <c r="A23" s="239" t="s">
        <v>115</v>
      </c>
      <c r="B23" s="280">
        <v>44342.808518518519</v>
      </c>
      <c r="C23" s="239" t="s">
        <v>684</v>
      </c>
      <c r="D23" s="239">
        <v>4.25</v>
      </c>
      <c r="E23" s="239">
        <v>1.78</v>
      </c>
      <c r="F23" s="239">
        <v>0.11</v>
      </c>
      <c r="G23" s="239">
        <f t="shared" si="0"/>
        <v>0.27642352941176473</v>
      </c>
      <c r="H23" s="283"/>
    </row>
    <row r="24" spans="1:8" x14ac:dyDescent="0.25">
      <c r="A24" s="239" t="s">
        <v>124</v>
      </c>
      <c r="B24" s="280">
        <v>44343.662210648137</v>
      </c>
      <c r="C24" s="239" t="s">
        <v>684</v>
      </c>
      <c r="D24" s="239">
        <v>2.5</v>
      </c>
      <c r="E24" s="239">
        <v>0.9</v>
      </c>
      <c r="F24" s="239">
        <v>0.06</v>
      </c>
      <c r="G24" s="239">
        <f t="shared" si="0"/>
        <v>0.12959999999999999</v>
      </c>
      <c r="H24" s="283"/>
    </row>
    <row r="25" spans="1:8" x14ac:dyDescent="0.25">
      <c r="A25" s="239" t="s">
        <v>137</v>
      </c>
      <c r="B25" s="280">
        <v>44343.670543981483</v>
      </c>
      <c r="C25" s="239" t="s">
        <v>684</v>
      </c>
      <c r="D25" s="239">
        <v>6</v>
      </c>
      <c r="E25" s="239">
        <v>0.4</v>
      </c>
      <c r="F25" s="239">
        <v>0.02</v>
      </c>
      <c r="G25" s="239">
        <f t="shared" si="0"/>
        <v>8.0000000000000002E-3</v>
      </c>
      <c r="H25" s="239">
        <v>1E-3</v>
      </c>
    </row>
    <row r="26" spans="1:8" x14ac:dyDescent="0.25">
      <c r="A26" s="239" t="s">
        <v>140</v>
      </c>
      <c r="B26" s="280">
        <v>44343.70034722222</v>
      </c>
      <c r="C26" s="239" t="s">
        <v>685</v>
      </c>
      <c r="D26" s="239">
        <v>0</v>
      </c>
      <c r="E26" s="239">
        <v>0</v>
      </c>
      <c r="F26" s="239">
        <v>0</v>
      </c>
      <c r="G26" s="239">
        <v>0</v>
      </c>
      <c r="H26" s="22">
        <v>2E-3</v>
      </c>
    </row>
    <row r="27" spans="1:8" ht="22.5" x14ac:dyDescent="0.3">
      <c r="A27" s="106" t="s">
        <v>125</v>
      </c>
      <c r="B27" s="280">
        <v>44343.707881944443</v>
      </c>
      <c r="C27" s="239" t="s">
        <v>684</v>
      </c>
      <c r="D27" s="239">
        <v>2</v>
      </c>
      <c r="E27" s="239">
        <v>1.3</v>
      </c>
      <c r="F27" s="239">
        <v>0.12</v>
      </c>
      <c r="G27" s="239">
        <f>E27*F27*6/D27</f>
        <v>0.46799999999999997</v>
      </c>
      <c r="H27" s="239">
        <v>0.30199999999999999</v>
      </c>
    </row>
    <row r="28" spans="1:8" x14ac:dyDescent="0.25">
      <c r="A28" s="239" t="s">
        <v>141</v>
      </c>
      <c r="B28" s="280">
        <v>44343.708807870367</v>
      </c>
      <c r="C28" s="239" t="s">
        <v>685</v>
      </c>
      <c r="D28" s="239">
        <v>0</v>
      </c>
      <c r="E28" s="239">
        <v>0</v>
      </c>
      <c r="F28" s="239">
        <v>0</v>
      </c>
      <c r="G28" s="239">
        <v>0</v>
      </c>
      <c r="H28" s="283">
        <v>0</v>
      </c>
    </row>
    <row r="29" spans="1:8" x14ac:dyDescent="0.25">
      <c r="A29" s="239" t="s">
        <v>139</v>
      </c>
      <c r="B29" s="280">
        <v>44343.728287037047</v>
      </c>
      <c r="C29" s="239" t="s">
        <v>684</v>
      </c>
      <c r="D29" s="239">
        <v>31.5</v>
      </c>
      <c r="E29" s="239">
        <v>3.8</v>
      </c>
      <c r="F29" s="239">
        <v>0.23</v>
      </c>
      <c r="G29" s="239">
        <f t="shared" ref="G29:G36" si="1">E29*F29*6/D29</f>
        <v>0.16647619047619047</v>
      </c>
      <c r="H29" s="239">
        <v>0.185</v>
      </c>
    </row>
    <row r="30" spans="1:8" x14ac:dyDescent="0.25">
      <c r="A30" s="239" t="s">
        <v>127</v>
      </c>
      <c r="B30" s="280">
        <v>44343.733703703707</v>
      </c>
      <c r="C30" s="239" t="s">
        <v>684</v>
      </c>
      <c r="D30" s="239">
        <v>2</v>
      </c>
      <c r="E30" s="239">
        <v>0.8</v>
      </c>
      <c r="F30" s="239">
        <v>0.05</v>
      </c>
      <c r="G30" s="239">
        <f t="shared" si="1"/>
        <v>0.12000000000000002</v>
      </c>
      <c r="H30" s="283"/>
    </row>
    <row r="31" spans="1:8" x14ac:dyDescent="0.25">
      <c r="A31" s="239" t="s">
        <v>128</v>
      </c>
      <c r="B31" s="280">
        <v>44343.772349537037</v>
      </c>
      <c r="C31" s="239" t="s">
        <v>684</v>
      </c>
      <c r="D31" s="239">
        <v>2.5</v>
      </c>
      <c r="E31" s="239">
        <v>1.3</v>
      </c>
      <c r="F31" s="239">
        <v>0.1</v>
      </c>
      <c r="G31" s="239">
        <f t="shared" si="1"/>
        <v>0.312</v>
      </c>
      <c r="H31" s="239">
        <v>7.9000000000000001E-2</v>
      </c>
    </row>
    <row r="32" spans="1:8" x14ac:dyDescent="0.25">
      <c r="A32" s="239" t="s">
        <v>142</v>
      </c>
      <c r="B32" s="280">
        <v>44343.787627314807</v>
      </c>
      <c r="C32" s="239" t="s">
        <v>684</v>
      </c>
      <c r="D32" s="239">
        <v>7.3</v>
      </c>
      <c r="E32" s="239">
        <v>1.64</v>
      </c>
      <c r="F32" s="239">
        <v>0.02</v>
      </c>
      <c r="G32" s="239">
        <f t="shared" si="1"/>
        <v>2.6958904109589038E-2</v>
      </c>
      <c r="H32" s="283"/>
    </row>
    <row r="33" spans="1:8" x14ac:dyDescent="0.25">
      <c r="A33" s="239" t="s">
        <v>130</v>
      </c>
      <c r="B33" s="280">
        <v>44343.793587962973</v>
      </c>
      <c r="C33" s="239" t="s">
        <v>684</v>
      </c>
      <c r="D33" s="239">
        <v>15</v>
      </c>
      <c r="E33" s="239">
        <v>0.8</v>
      </c>
      <c r="F33" s="239">
        <v>0.05</v>
      </c>
      <c r="G33" s="239">
        <f t="shared" si="1"/>
        <v>1.6000000000000004E-2</v>
      </c>
      <c r="H33" s="239">
        <v>8.0000000000000002E-3</v>
      </c>
    </row>
    <row r="34" spans="1:8" x14ac:dyDescent="0.25">
      <c r="A34" s="239" t="s">
        <v>132</v>
      </c>
      <c r="B34" s="280">
        <v>44343.823958333327</v>
      </c>
      <c r="C34" s="239" t="s">
        <v>684</v>
      </c>
      <c r="D34" s="239">
        <v>3</v>
      </c>
      <c r="E34" s="239">
        <v>0.7</v>
      </c>
      <c r="F34" s="239">
        <v>5.5E-2</v>
      </c>
      <c r="G34" s="239">
        <f t="shared" si="1"/>
        <v>7.6999999999999999E-2</v>
      </c>
      <c r="H34" s="239">
        <v>3.3000000000000002E-2</v>
      </c>
    </row>
    <row r="35" spans="1:8" x14ac:dyDescent="0.25">
      <c r="A35" s="239" t="s">
        <v>170</v>
      </c>
      <c r="B35" s="280">
        <v>44348.600462962961</v>
      </c>
      <c r="C35" s="239" t="s">
        <v>684</v>
      </c>
      <c r="D35" s="239">
        <v>34</v>
      </c>
      <c r="E35" s="239">
        <v>1.9</v>
      </c>
      <c r="F35" s="239">
        <v>0.15</v>
      </c>
      <c r="G35" s="239">
        <f t="shared" si="1"/>
        <v>5.0294117647058822E-2</v>
      </c>
      <c r="H35" s="239"/>
    </row>
    <row r="36" spans="1:8" x14ac:dyDescent="0.25">
      <c r="A36" s="239" t="s">
        <v>173</v>
      </c>
      <c r="B36" s="280">
        <v>44348.638969907413</v>
      </c>
      <c r="C36" s="239" t="s">
        <v>684</v>
      </c>
      <c r="D36" s="239">
        <v>24</v>
      </c>
      <c r="E36" s="239">
        <v>0.52</v>
      </c>
      <c r="F36" s="239">
        <v>0.03</v>
      </c>
      <c r="G36" s="239">
        <f t="shared" si="1"/>
        <v>3.8999999999999994E-3</v>
      </c>
      <c r="H36" s="239"/>
    </row>
    <row r="37" spans="1:8" x14ac:dyDescent="0.25">
      <c r="A37" s="239" t="s">
        <v>167</v>
      </c>
      <c r="B37" s="280">
        <v>44348.662523148138</v>
      </c>
      <c r="C37" s="239" t="s">
        <v>687</v>
      </c>
      <c r="D37" s="239">
        <v>0</v>
      </c>
      <c r="E37" s="239">
        <v>0</v>
      </c>
      <c r="F37" s="239">
        <v>0</v>
      </c>
      <c r="G37" s="239">
        <v>0</v>
      </c>
      <c r="H37" s="239"/>
    </row>
    <row r="38" spans="1:8" x14ac:dyDescent="0.25">
      <c r="A38" s="239" t="s">
        <v>119</v>
      </c>
      <c r="B38" s="280">
        <v>44348.663831018523</v>
      </c>
      <c r="C38" s="239" t="s">
        <v>684</v>
      </c>
      <c r="D38" s="239">
        <v>6</v>
      </c>
      <c r="E38" s="239">
        <v>0.4</v>
      </c>
      <c r="F38" s="239">
        <v>0.02</v>
      </c>
      <c r="G38" s="239">
        <f>E38*F38*6/D38</f>
        <v>8.0000000000000002E-3</v>
      </c>
      <c r="H38" s="239"/>
    </row>
    <row r="39" spans="1:8" x14ac:dyDescent="0.25">
      <c r="A39" s="239" t="s">
        <v>175</v>
      </c>
      <c r="B39" s="280">
        <v>44348.690601851849</v>
      </c>
      <c r="C39" s="239" t="s">
        <v>684</v>
      </c>
      <c r="D39" s="239">
        <v>9</v>
      </c>
      <c r="E39" s="239">
        <v>1.1000000000000001</v>
      </c>
      <c r="F39" s="239">
        <v>7.0000000000000007E-2</v>
      </c>
      <c r="G39" s="239">
        <f>E39*F39*6/D39</f>
        <v>5.1333333333333342E-2</v>
      </c>
      <c r="H39" s="239"/>
    </row>
    <row r="40" spans="1:8" x14ac:dyDescent="0.25">
      <c r="A40" s="239" t="s">
        <v>168</v>
      </c>
      <c r="B40" s="280">
        <v>44348.708680555566</v>
      </c>
      <c r="C40" s="239" t="s">
        <v>687</v>
      </c>
      <c r="D40" s="239">
        <v>0</v>
      </c>
      <c r="E40" s="239">
        <v>0</v>
      </c>
      <c r="F40" s="239">
        <v>0</v>
      </c>
      <c r="G40" s="239">
        <v>0</v>
      </c>
      <c r="H40" s="239"/>
    </row>
    <row r="41" spans="1:8" x14ac:dyDescent="0.25">
      <c r="A41" s="239" t="s">
        <v>123</v>
      </c>
      <c r="B41" s="280">
        <v>44348.748576388891</v>
      </c>
      <c r="C41" s="239" t="s">
        <v>684</v>
      </c>
      <c r="D41" s="239">
        <v>30.78</v>
      </c>
      <c r="E41" s="239">
        <v>0.51</v>
      </c>
      <c r="F41" s="239">
        <v>0.01</v>
      </c>
      <c r="G41" s="239">
        <f t="shared" ref="G41:G46" si="2">E41*F41*6/D41</f>
        <v>9.9415204678362568E-4</v>
      </c>
      <c r="H41" s="239"/>
    </row>
    <row r="42" spans="1:8" x14ac:dyDescent="0.25">
      <c r="A42" s="239" t="s">
        <v>157</v>
      </c>
      <c r="B42" s="280">
        <v>44349.658425925933</v>
      </c>
      <c r="C42" s="239" t="s">
        <v>684</v>
      </c>
      <c r="D42" s="239">
        <v>9</v>
      </c>
      <c r="E42" s="239">
        <v>0.6</v>
      </c>
      <c r="F42" s="239">
        <v>0.01</v>
      </c>
      <c r="G42" s="239">
        <f t="shared" si="2"/>
        <v>4.0000000000000001E-3</v>
      </c>
      <c r="H42" s="239"/>
    </row>
    <row r="43" spans="1:8" x14ac:dyDescent="0.25">
      <c r="A43" s="239" t="s">
        <v>160</v>
      </c>
      <c r="B43" s="280">
        <v>44349.674907407418</v>
      </c>
      <c r="C43" s="239" t="s">
        <v>684</v>
      </c>
      <c r="D43" s="239">
        <v>2.5</v>
      </c>
      <c r="E43" s="239">
        <v>1.4</v>
      </c>
      <c r="F43" s="239">
        <v>0.09</v>
      </c>
      <c r="G43" s="239">
        <f t="shared" si="2"/>
        <v>0.3024</v>
      </c>
      <c r="H43" s="239"/>
    </row>
    <row r="44" spans="1:8" x14ac:dyDescent="0.25">
      <c r="A44" s="239" t="s">
        <v>161</v>
      </c>
      <c r="B44" s="280">
        <v>44349.710277777784</v>
      </c>
      <c r="C44" s="239" t="s">
        <v>684</v>
      </c>
      <c r="D44" s="239">
        <v>2.5</v>
      </c>
      <c r="E44" s="239">
        <v>2</v>
      </c>
      <c r="F44" s="239">
        <v>0.3</v>
      </c>
      <c r="G44" s="239">
        <f t="shared" si="2"/>
        <v>1.44</v>
      </c>
      <c r="H44" s="239"/>
    </row>
    <row r="45" spans="1:8" x14ac:dyDescent="0.25">
      <c r="A45" s="239" t="s">
        <v>162</v>
      </c>
      <c r="B45" s="280">
        <v>44349.713645833333</v>
      </c>
      <c r="C45" s="239" t="s">
        <v>684</v>
      </c>
      <c r="D45" s="239">
        <v>3</v>
      </c>
      <c r="E45" s="239">
        <v>0.6</v>
      </c>
      <c r="F45" s="239">
        <v>0.02</v>
      </c>
      <c r="G45" s="239">
        <f t="shared" si="2"/>
        <v>2.4000000000000004E-2</v>
      </c>
      <c r="H45" s="239"/>
    </row>
    <row r="46" spans="1:8" x14ac:dyDescent="0.25">
      <c r="A46" s="239" t="s">
        <v>116</v>
      </c>
      <c r="B46" s="280">
        <v>44349.726597222223</v>
      </c>
      <c r="C46" s="239" t="s">
        <v>684</v>
      </c>
      <c r="D46" s="239">
        <v>30</v>
      </c>
      <c r="E46" s="239">
        <v>0.9</v>
      </c>
      <c r="F46" s="239">
        <v>0.03</v>
      </c>
      <c r="G46" s="239">
        <f t="shared" si="2"/>
        <v>5.4000000000000003E-3</v>
      </c>
      <c r="H46" s="239"/>
    </row>
    <row r="47" spans="1:8" x14ac:dyDescent="0.25">
      <c r="A47" s="239" t="s">
        <v>117</v>
      </c>
      <c r="B47" s="280">
        <v>44349.736145833333</v>
      </c>
      <c r="C47" s="239" t="s">
        <v>687</v>
      </c>
      <c r="D47" s="239">
        <v>0</v>
      </c>
      <c r="E47" s="239">
        <v>0</v>
      </c>
      <c r="F47" s="239">
        <v>0</v>
      </c>
      <c r="G47" s="239">
        <v>0</v>
      </c>
      <c r="H47" s="239"/>
    </row>
    <row r="48" spans="1:8" x14ac:dyDescent="0.25">
      <c r="A48" s="239" t="s">
        <v>163</v>
      </c>
      <c r="B48" s="280">
        <v>44349.755949074082</v>
      </c>
      <c r="C48" s="239" t="s">
        <v>684</v>
      </c>
      <c r="D48" s="239">
        <v>2</v>
      </c>
      <c r="E48" s="239">
        <v>0.6</v>
      </c>
      <c r="F48" s="239">
        <v>0.05</v>
      </c>
      <c r="G48" s="239">
        <f t="shared" ref="G48:G73" si="3">E48*F48*6/D48</f>
        <v>0.09</v>
      </c>
      <c r="H48" s="239"/>
    </row>
    <row r="49" spans="1:8" x14ac:dyDescent="0.25">
      <c r="A49" s="239" t="s">
        <v>166</v>
      </c>
      <c r="B49" s="280">
        <v>44349.756643518529</v>
      </c>
      <c r="C49" s="239" t="s">
        <v>684</v>
      </c>
      <c r="D49" s="239">
        <v>5.0999999999999996</v>
      </c>
      <c r="E49" s="239">
        <v>2.11</v>
      </c>
      <c r="F49" s="239">
        <v>0.13</v>
      </c>
      <c r="G49" s="239">
        <f t="shared" si="3"/>
        <v>0.32270588235294118</v>
      </c>
      <c r="H49" s="239"/>
    </row>
    <row r="50" spans="1:8" x14ac:dyDescent="0.25">
      <c r="A50" s="239" t="s">
        <v>151</v>
      </c>
      <c r="B50" s="280">
        <v>44350.65111111111</v>
      </c>
      <c r="C50" s="239" t="s">
        <v>684</v>
      </c>
      <c r="D50" s="239">
        <v>9</v>
      </c>
      <c r="E50" s="239">
        <v>1</v>
      </c>
      <c r="F50" s="239">
        <v>7.0000000000000007E-2</v>
      </c>
      <c r="G50" s="239">
        <f t="shared" si="3"/>
        <v>4.6666666666666669E-2</v>
      </c>
      <c r="H50" s="239"/>
    </row>
    <row r="51" spans="1:8" x14ac:dyDescent="0.25">
      <c r="A51" s="239" t="s">
        <v>152</v>
      </c>
      <c r="B51" s="280">
        <v>44350.651990740742</v>
      </c>
      <c r="C51" s="239" t="s">
        <v>684</v>
      </c>
      <c r="D51" s="239">
        <v>2.79</v>
      </c>
      <c r="E51" s="239">
        <v>1.52</v>
      </c>
      <c r="F51" s="239">
        <v>0.09</v>
      </c>
      <c r="G51" s="239">
        <f t="shared" si="3"/>
        <v>0.29419354838709677</v>
      </c>
      <c r="H51" s="239"/>
    </row>
    <row r="52" spans="1:8" x14ac:dyDescent="0.25">
      <c r="A52" s="239" t="s">
        <v>154</v>
      </c>
      <c r="B52" s="280">
        <v>44350.708171296297</v>
      </c>
      <c r="C52" s="239" t="s">
        <v>684</v>
      </c>
      <c r="D52" s="239">
        <v>3.44</v>
      </c>
      <c r="E52" s="239">
        <v>2.1</v>
      </c>
      <c r="F52" s="239">
        <v>0.1</v>
      </c>
      <c r="G52" s="239">
        <f t="shared" si="3"/>
        <v>0.36627906976744196</v>
      </c>
      <c r="H52" s="239"/>
    </row>
    <row r="53" spans="1:8" x14ac:dyDescent="0.25">
      <c r="A53" s="239" t="s">
        <v>155</v>
      </c>
      <c r="B53" s="280">
        <v>44350.714398148149</v>
      </c>
      <c r="C53" s="239" t="s">
        <v>684</v>
      </c>
      <c r="D53" s="239">
        <v>6</v>
      </c>
      <c r="E53" s="239">
        <v>0.72</v>
      </c>
      <c r="F53" s="239">
        <v>0.02</v>
      </c>
      <c r="G53" s="239">
        <f t="shared" si="3"/>
        <v>1.4400000000000001E-2</v>
      </c>
      <c r="H53" s="239"/>
    </row>
    <row r="54" spans="1:8" x14ac:dyDescent="0.25">
      <c r="A54" s="239" t="s">
        <v>156</v>
      </c>
      <c r="B54" s="280">
        <v>44350.72284722222</v>
      </c>
      <c r="C54" s="239" t="s">
        <v>684</v>
      </c>
      <c r="D54" s="239">
        <v>6</v>
      </c>
      <c r="E54" s="239">
        <v>2</v>
      </c>
      <c r="F54" s="239">
        <v>0.05</v>
      </c>
      <c r="G54" s="239">
        <f t="shared" si="3"/>
        <v>0.10000000000000002</v>
      </c>
      <c r="H54" s="239"/>
    </row>
    <row r="55" spans="1:8" x14ac:dyDescent="0.25">
      <c r="A55" s="239" t="s">
        <v>152</v>
      </c>
      <c r="B55" s="280">
        <v>44392.596608796302</v>
      </c>
      <c r="C55" s="239" t="s">
        <v>684</v>
      </c>
      <c r="D55" s="239">
        <v>4.5</v>
      </c>
      <c r="E55" s="239">
        <v>1.1000000000000001</v>
      </c>
      <c r="F55" s="239">
        <v>0.13</v>
      </c>
      <c r="G55" s="239">
        <f t="shared" si="3"/>
        <v>0.19066666666666668</v>
      </c>
      <c r="H55" s="239"/>
    </row>
    <row r="56" spans="1:8" x14ac:dyDescent="0.25">
      <c r="A56" s="239" t="s">
        <v>110</v>
      </c>
      <c r="B56" s="280">
        <v>44392.618287037039</v>
      </c>
      <c r="C56" s="239" t="s">
        <v>684</v>
      </c>
      <c r="D56" s="239">
        <v>2.7</v>
      </c>
      <c r="E56" s="239">
        <v>0.75</v>
      </c>
      <c r="F56" s="239">
        <v>0.05</v>
      </c>
      <c r="G56" s="239">
        <f t="shared" si="3"/>
        <v>8.3333333333333343E-2</v>
      </c>
      <c r="H56" s="239"/>
    </row>
    <row r="57" spans="1:8" x14ac:dyDescent="0.25">
      <c r="A57" s="239" t="s">
        <v>109</v>
      </c>
      <c r="B57" s="280">
        <v>44392.638935185183</v>
      </c>
      <c r="C57" s="239" t="s">
        <v>684</v>
      </c>
      <c r="D57" s="239">
        <v>3</v>
      </c>
      <c r="E57" s="239">
        <v>0.9</v>
      </c>
      <c r="F57" s="239">
        <v>0.08</v>
      </c>
      <c r="G57" s="239">
        <f t="shared" si="3"/>
        <v>0.14400000000000002</v>
      </c>
      <c r="H57" s="239"/>
    </row>
    <row r="58" spans="1:8" x14ac:dyDescent="0.25">
      <c r="A58" s="239" t="s">
        <v>144</v>
      </c>
      <c r="B58" s="280">
        <v>44392.673530092587</v>
      </c>
      <c r="C58" s="239" t="s">
        <v>684</v>
      </c>
      <c r="D58" s="239">
        <v>24</v>
      </c>
      <c r="E58" s="239">
        <v>3.5</v>
      </c>
      <c r="F58" s="239">
        <v>0.51</v>
      </c>
      <c r="G58" s="239">
        <f t="shared" si="3"/>
        <v>0.44625000000000004</v>
      </c>
      <c r="H58" s="239"/>
    </row>
    <row r="59" spans="1:8" x14ac:dyDescent="0.25">
      <c r="A59" s="239" t="s">
        <v>111</v>
      </c>
      <c r="B59" s="280">
        <v>44392.706273148149</v>
      </c>
      <c r="C59" s="239" t="s">
        <v>684</v>
      </c>
      <c r="D59" s="239">
        <v>5</v>
      </c>
      <c r="E59" s="239">
        <v>0.5</v>
      </c>
      <c r="F59" s="239">
        <v>0.02</v>
      </c>
      <c r="G59" s="239">
        <f t="shared" si="3"/>
        <v>1.2E-2</v>
      </c>
      <c r="H59" s="239"/>
    </row>
    <row r="60" spans="1:8" x14ac:dyDescent="0.25">
      <c r="A60" s="239" t="s">
        <v>152</v>
      </c>
      <c r="B60" s="280">
        <v>44396.610208333332</v>
      </c>
      <c r="C60" s="239" t="s">
        <v>684</v>
      </c>
      <c r="D60" s="239">
        <v>2.4</v>
      </c>
      <c r="E60" s="239">
        <v>1.8</v>
      </c>
      <c r="F60" s="239">
        <v>0.12</v>
      </c>
      <c r="G60" s="239">
        <f t="shared" si="3"/>
        <v>0.54</v>
      </c>
      <c r="H60" s="239"/>
    </row>
    <row r="61" spans="1:8" x14ac:dyDescent="0.25">
      <c r="A61" s="239" t="s">
        <v>110</v>
      </c>
      <c r="B61" s="280">
        <v>44396.625219907408</v>
      </c>
      <c r="C61" s="239" t="s">
        <v>684</v>
      </c>
      <c r="D61" s="239">
        <v>3</v>
      </c>
      <c r="E61" s="239">
        <v>1</v>
      </c>
      <c r="F61" s="239">
        <v>7.0000000000000007E-2</v>
      </c>
      <c r="G61" s="239">
        <f t="shared" si="3"/>
        <v>0.14000000000000001</v>
      </c>
      <c r="H61" s="239"/>
    </row>
    <row r="62" spans="1:8" x14ac:dyDescent="0.25">
      <c r="A62" s="239" t="s">
        <v>144</v>
      </c>
      <c r="B62" s="280">
        <v>44396.653784722221</v>
      </c>
      <c r="C62" s="239" t="s">
        <v>684</v>
      </c>
      <c r="D62" s="239">
        <v>20</v>
      </c>
      <c r="E62" s="239">
        <v>3.28</v>
      </c>
      <c r="F62" s="239">
        <v>0.46</v>
      </c>
      <c r="G62" s="239">
        <f t="shared" si="3"/>
        <v>0.45263999999999999</v>
      </c>
      <c r="H62" s="239"/>
    </row>
    <row r="63" spans="1:8" x14ac:dyDescent="0.25">
      <c r="A63" s="239" t="s">
        <v>109</v>
      </c>
      <c r="B63" s="280">
        <v>44396.659768518519</v>
      </c>
      <c r="C63" s="239" t="s">
        <v>684</v>
      </c>
      <c r="D63" s="239">
        <v>4</v>
      </c>
      <c r="E63" s="239">
        <v>1.05</v>
      </c>
      <c r="F63" s="239">
        <v>0.05</v>
      </c>
      <c r="G63" s="239">
        <f t="shared" si="3"/>
        <v>7.8750000000000014E-2</v>
      </c>
      <c r="H63" s="239"/>
    </row>
    <row r="64" spans="1:8" x14ac:dyDescent="0.25">
      <c r="A64" s="239" t="s">
        <v>111</v>
      </c>
      <c r="B64" s="280">
        <v>44396.762870370381</v>
      </c>
      <c r="C64" s="239" t="s">
        <v>684</v>
      </c>
      <c r="D64" s="239">
        <v>7</v>
      </c>
      <c r="E64" s="239">
        <v>0.85</v>
      </c>
      <c r="F64" s="239">
        <v>0.02</v>
      </c>
      <c r="G64" s="239">
        <f t="shared" si="3"/>
        <v>1.4571428571428572E-2</v>
      </c>
      <c r="H64" s="239"/>
    </row>
    <row r="65" spans="1:8" x14ac:dyDescent="0.25">
      <c r="A65" s="239" t="s">
        <v>110</v>
      </c>
      <c r="B65" s="280">
        <v>44410.614293981482</v>
      </c>
      <c r="C65" s="239" t="s">
        <v>684</v>
      </c>
      <c r="D65" s="239">
        <v>2.2799999999999998</v>
      </c>
      <c r="E65" s="239">
        <v>0.9</v>
      </c>
      <c r="F65" s="239">
        <v>0.05</v>
      </c>
      <c r="G65" s="239">
        <f t="shared" si="3"/>
        <v>0.11842105263157897</v>
      </c>
      <c r="H65" s="239"/>
    </row>
    <row r="66" spans="1:8" x14ac:dyDescent="0.25">
      <c r="A66" s="239" t="s">
        <v>152</v>
      </c>
      <c r="B66" s="280">
        <v>44410.614537037043</v>
      </c>
      <c r="C66" s="239" t="s">
        <v>684</v>
      </c>
      <c r="D66" s="239">
        <v>2.1</v>
      </c>
      <c r="E66" s="239">
        <v>1.78</v>
      </c>
      <c r="F66" s="239">
        <v>0.13</v>
      </c>
      <c r="G66" s="239">
        <f t="shared" si="3"/>
        <v>0.66114285714285714</v>
      </c>
      <c r="H66" s="283"/>
    </row>
    <row r="67" spans="1:8" x14ac:dyDescent="0.25">
      <c r="A67" s="239" t="s">
        <v>109</v>
      </c>
      <c r="B67" s="280">
        <v>44410.645833333343</v>
      </c>
      <c r="C67" s="239" t="s">
        <v>684</v>
      </c>
      <c r="D67" s="239">
        <v>2</v>
      </c>
      <c r="E67" s="239">
        <v>0.9</v>
      </c>
      <c r="F67" s="239">
        <v>0.06</v>
      </c>
      <c r="G67" s="239">
        <f t="shared" si="3"/>
        <v>0.16200000000000001</v>
      </c>
      <c r="H67" s="283"/>
    </row>
    <row r="68" spans="1:8" x14ac:dyDescent="0.25">
      <c r="A68" s="239" t="s">
        <v>144</v>
      </c>
      <c r="B68" s="280">
        <v>44410.658530092587</v>
      </c>
      <c r="C68" s="239" t="s">
        <v>684</v>
      </c>
      <c r="D68" s="239">
        <v>13.28</v>
      </c>
      <c r="E68" s="239">
        <v>3.1</v>
      </c>
      <c r="F68" s="239">
        <v>0.47</v>
      </c>
      <c r="G68" s="239">
        <f t="shared" si="3"/>
        <v>0.6582831325301205</v>
      </c>
      <c r="H68" s="283"/>
    </row>
    <row r="69" spans="1:8" x14ac:dyDescent="0.25">
      <c r="A69" s="239" t="s">
        <v>111</v>
      </c>
      <c r="B69" s="280">
        <v>44410.739606481482</v>
      </c>
      <c r="C69" s="239" t="s">
        <v>684</v>
      </c>
      <c r="D69" s="239">
        <v>3</v>
      </c>
      <c r="E69" s="239">
        <v>0.8</v>
      </c>
      <c r="F69" s="239">
        <v>0.03</v>
      </c>
      <c r="G69" s="239">
        <f t="shared" si="3"/>
        <v>4.8000000000000008E-2</v>
      </c>
      <c r="H69" s="283">
        <v>1.0999999999999999E-2</v>
      </c>
    </row>
    <row r="70" spans="1:8" x14ac:dyDescent="0.25">
      <c r="A70" s="239" t="s">
        <v>109</v>
      </c>
      <c r="B70" s="280">
        <v>44411.680868055562</v>
      </c>
      <c r="C70" s="239" t="s">
        <v>684</v>
      </c>
      <c r="D70" s="239">
        <v>2</v>
      </c>
      <c r="E70" s="239">
        <v>0.9</v>
      </c>
      <c r="F70" s="239">
        <v>0.06</v>
      </c>
      <c r="G70" s="239">
        <f t="shared" si="3"/>
        <v>0.16200000000000001</v>
      </c>
      <c r="H70" s="239">
        <v>3.2000000000000001E-2</v>
      </c>
    </row>
    <row r="71" spans="1:8" x14ac:dyDescent="0.25">
      <c r="A71" s="239" t="s">
        <v>144</v>
      </c>
      <c r="B71" s="280">
        <v>44411.681041666663</v>
      </c>
      <c r="C71" s="239" t="s">
        <v>684</v>
      </c>
      <c r="D71" s="239">
        <v>14.9</v>
      </c>
      <c r="E71" s="239">
        <v>3.15</v>
      </c>
      <c r="F71" s="239">
        <v>0.45</v>
      </c>
      <c r="G71" s="239">
        <f t="shared" si="3"/>
        <v>0.57080536912751667</v>
      </c>
      <c r="H71" s="239">
        <v>0.29199999999999998</v>
      </c>
    </row>
    <row r="72" spans="1:8" x14ac:dyDescent="0.25">
      <c r="A72" s="239" t="s">
        <v>149</v>
      </c>
      <c r="B72" s="280">
        <v>44411.71125</v>
      </c>
      <c r="C72" s="239" t="s">
        <v>684</v>
      </c>
      <c r="D72" s="239">
        <v>1.5</v>
      </c>
      <c r="E72" s="239">
        <v>0.9</v>
      </c>
      <c r="F72" s="239">
        <v>0.09</v>
      </c>
      <c r="G72" s="239">
        <f t="shared" si="3"/>
        <v>0.32400000000000001</v>
      </c>
      <c r="H72" s="239"/>
    </row>
    <row r="73" spans="1:8" x14ac:dyDescent="0.25">
      <c r="A73" s="239" t="s">
        <v>111</v>
      </c>
      <c r="B73" s="280">
        <v>44411.740219907413</v>
      </c>
      <c r="C73" s="239" t="s">
        <v>684</v>
      </c>
      <c r="D73" s="239">
        <v>4</v>
      </c>
      <c r="E73" s="239">
        <v>0.8</v>
      </c>
      <c r="F73" s="239">
        <v>0.03</v>
      </c>
      <c r="G73" s="239">
        <f t="shared" si="3"/>
        <v>3.6000000000000004E-2</v>
      </c>
      <c r="H73" s="22">
        <v>1.0999999999999999E-2</v>
      </c>
    </row>
    <row r="74" spans="1:8" x14ac:dyDescent="0.25">
      <c r="A74" s="239" t="s">
        <v>261</v>
      </c>
      <c r="B74" s="280">
        <v>44411.746053240742</v>
      </c>
      <c r="C74" s="239" t="s">
        <v>685</v>
      </c>
      <c r="D74" s="239">
        <v>0</v>
      </c>
      <c r="E74" s="239">
        <v>0</v>
      </c>
      <c r="F74" s="239">
        <v>0</v>
      </c>
      <c r="G74" s="239">
        <v>0</v>
      </c>
      <c r="H74" s="239"/>
    </row>
    <row r="75" spans="1:8" x14ac:dyDescent="0.25">
      <c r="A75" s="239" t="s">
        <v>151</v>
      </c>
      <c r="B75" s="280">
        <v>44417.644826388889</v>
      </c>
      <c r="C75" s="239" t="s">
        <v>684</v>
      </c>
      <c r="D75" s="239">
        <v>12</v>
      </c>
      <c r="E75" s="239">
        <v>0.9</v>
      </c>
      <c r="F75" s="239">
        <v>0.06</v>
      </c>
      <c r="G75" s="239">
        <f t="shared" ref="G75:G79" si="4">E75*F75*6/D75</f>
        <v>2.7E-2</v>
      </c>
      <c r="H75" s="239"/>
    </row>
    <row r="76" spans="1:8" x14ac:dyDescent="0.25">
      <c r="A76" s="239" t="s">
        <v>152</v>
      </c>
      <c r="B76" s="280">
        <v>44417.648738425924</v>
      </c>
      <c r="C76" s="239" t="s">
        <v>684</v>
      </c>
      <c r="D76" s="239">
        <v>4.2</v>
      </c>
      <c r="E76" s="239">
        <v>1.7</v>
      </c>
      <c r="F76" s="239">
        <v>0.12</v>
      </c>
      <c r="G76" s="239">
        <f t="shared" si="4"/>
        <v>0.29142857142857143</v>
      </c>
      <c r="H76" s="239">
        <v>5.2999999999999999E-2</v>
      </c>
    </row>
    <row r="77" spans="1:8" x14ac:dyDescent="0.25">
      <c r="A77" s="239" t="s">
        <v>154</v>
      </c>
      <c r="B77" s="280">
        <v>44417.702662037038</v>
      </c>
      <c r="C77" s="239" t="s">
        <v>684</v>
      </c>
      <c r="D77" s="239">
        <v>2.2999999999999998</v>
      </c>
      <c r="E77" s="239">
        <v>1.85</v>
      </c>
      <c r="F77" s="239">
        <v>7.0000000000000007E-2</v>
      </c>
      <c r="G77" s="239">
        <f t="shared" si="4"/>
        <v>0.33782608695652183</v>
      </c>
      <c r="H77" s="239"/>
    </row>
    <row r="78" spans="1:8" x14ac:dyDescent="0.25">
      <c r="A78" s="239" t="s">
        <v>156</v>
      </c>
      <c r="B78" s="280">
        <v>44417.70653935185</v>
      </c>
      <c r="C78" s="239" t="s">
        <v>684</v>
      </c>
      <c r="D78" s="239">
        <v>7</v>
      </c>
      <c r="E78" s="239">
        <v>3.4</v>
      </c>
      <c r="F78" s="239">
        <v>0.2</v>
      </c>
      <c r="G78" s="239">
        <f t="shared" si="4"/>
        <v>0.58285714285714285</v>
      </c>
      <c r="H78" s="239"/>
    </row>
    <row r="79" spans="1:8" x14ac:dyDescent="0.25">
      <c r="A79" s="239" t="s">
        <v>155</v>
      </c>
      <c r="B79" s="280">
        <v>44417.710636574076</v>
      </c>
      <c r="C79" s="239" t="s">
        <v>684</v>
      </c>
      <c r="D79" s="239">
        <v>4.5</v>
      </c>
      <c r="E79" s="239">
        <v>0.93</v>
      </c>
      <c r="F79" s="239">
        <v>0.02</v>
      </c>
      <c r="G79" s="239">
        <f t="shared" si="4"/>
        <v>2.4800000000000003E-2</v>
      </c>
      <c r="H79" s="239"/>
    </row>
    <row r="80" spans="1:8" x14ac:dyDescent="0.25">
      <c r="A80" s="239" t="s">
        <v>454</v>
      </c>
      <c r="B80" s="280">
        <v>44439.634270833332</v>
      </c>
      <c r="C80" s="239" t="s">
        <v>685</v>
      </c>
      <c r="D80" s="239">
        <v>0</v>
      </c>
      <c r="E80" s="239">
        <v>0</v>
      </c>
      <c r="F80" s="239">
        <v>0</v>
      </c>
      <c r="G80" s="239">
        <v>0</v>
      </c>
      <c r="H80" s="239"/>
    </row>
    <row r="81" spans="1:8" x14ac:dyDescent="0.25">
      <c r="A81" s="239" t="s">
        <v>133</v>
      </c>
      <c r="B81" s="280">
        <v>44439.685289351852</v>
      </c>
      <c r="C81" s="239" t="s">
        <v>684</v>
      </c>
      <c r="D81" s="239">
        <v>14</v>
      </c>
      <c r="E81" s="239">
        <v>0.55000000000000004</v>
      </c>
      <c r="F81" s="239">
        <v>0.02</v>
      </c>
      <c r="G81" s="239">
        <f>E81*F81*6/D81</f>
        <v>4.7142857142857143E-3</v>
      </c>
      <c r="H81" s="239"/>
    </row>
    <row r="82" spans="1:8" x14ac:dyDescent="0.25">
      <c r="A82" s="239" t="s">
        <v>127</v>
      </c>
      <c r="B82" s="280">
        <v>44439.701388888891</v>
      </c>
      <c r="C82" s="239" t="s">
        <v>684</v>
      </c>
      <c r="D82" s="239">
        <v>1.5</v>
      </c>
      <c r="E82" s="239">
        <v>1.1000000000000001</v>
      </c>
      <c r="F82" s="239">
        <v>0.05</v>
      </c>
      <c r="G82" s="239">
        <f>E82*F82*6/D82</f>
        <v>0.22000000000000006</v>
      </c>
      <c r="H82" s="239"/>
    </row>
    <row r="83" spans="1:8" ht="22.5" x14ac:dyDescent="0.3">
      <c r="A83" s="266" t="s">
        <v>125</v>
      </c>
      <c r="B83" s="280">
        <v>44439.742789351847</v>
      </c>
      <c r="C83" s="239" t="s">
        <v>684</v>
      </c>
      <c r="D83" s="239">
        <v>1.25</v>
      </c>
      <c r="E83" s="239">
        <v>1.7</v>
      </c>
      <c r="F83" s="239">
        <v>0.08</v>
      </c>
      <c r="G83" s="239">
        <f>E83*F83*6/D83</f>
        <v>0.65280000000000005</v>
      </c>
      <c r="H83" s="352">
        <v>0.35399999999999998</v>
      </c>
    </row>
    <row r="84" spans="1:8" x14ac:dyDescent="0.25">
      <c r="A84" s="239" t="s">
        <v>136</v>
      </c>
      <c r="B84" s="280">
        <v>44439.752476851849</v>
      </c>
      <c r="C84" s="239" t="s">
        <v>685</v>
      </c>
      <c r="D84" s="239">
        <v>0</v>
      </c>
      <c r="E84" s="239">
        <v>0</v>
      </c>
      <c r="F84" s="239">
        <v>0</v>
      </c>
      <c r="G84" s="239">
        <v>0</v>
      </c>
      <c r="H84" s="239"/>
    </row>
    <row r="85" spans="1:8" x14ac:dyDescent="0.25">
      <c r="A85" s="239" t="s">
        <v>116</v>
      </c>
      <c r="B85" s="280">
        <v>44440.649664351862</v>
      </c>
      <c r="C85" s="239" t="s">
        <v>684</v>
      </c>
      <c r="D85" s="239">
        <v>20</v>
      </c>
      <c r="E85" s="239">
        <v>0.53</v>
      </c>
      <c r="F85" s="239">
        <v>0.01</v>
      </c>
      <c r="G85" s="239">
        <f>E85*F85*6/D85</f>
        <v>1.5900000000000001E-3</v>
      </c>
      <c r="H85" s="239"/>
    </row>
    <row r="86" spans="1:8" x14ac:dyDescent="0.25">
      <c r="A86" s="239" t="s">
        <v>170</v>
      </c>
      <c r="B86" s="280">
        <v>44440.653993055566</v>
      </c>
      <c r="C86" s="239" t="s">
        <v>684</v>
      </c>
      <c r="D86" s="239">
        <v>8</v>
      </c>
      <c r="E86" s="239">
        <v>1.85</v>
      </c>
      <c r="F86" s="239">
        <v>0.18</v>
      </c>
      <c r="G86" s="239">
        <f>E86*F86*6/D86</f>
        <v>0.24975000000000003</v>
      </c>
      <c r="H86" s="239"/>
    </row>
    <row r="87" spans="1:8" x14ac:dyDescent="0.25">
      <c r="A87" s="239" t="s">
        <v>119</v>
      </c>
      <c r="B87" s="280">
        <v>44440.687800925924</v>
      </c>
      <c r="C87" s="239" t="s">
        <v>684</v>
      </c>
      <c r="D87" s="239">
        <v>3.5</v>
      </c>
      <c r="E87" s="239">
        <v>0.3</v>
      </c>
      <c r="F87" s="239">
        <v>0.02</v>
      </c>
      <c r="G87" s="239">
        <f>E87*F87*6/D87</f>
        <v>1.0285714285714287E-2</v>
      </c>
      <c r="H87" s="239"/>
    </row>
    <row r="88" spans="1:8" x14ac:dyDescent="0.25">
      <c r="A88" s="239" t="s">
        <v>117</v>
      </c>
      <c r="B88" s="280">
        <v>44440.698495370372</v>
      </c>
      <c r="C88" s="239" t="s">
        <v>687</v>
      </c>
      <c r="D88" s="239">
        <v>0</v>
      </c>
      <c r="E88" s="239">
        <v>0</v>
      </c>
      <c r="F88" s="239">
        <v>0</v>
      </c>
      <c r="G88" s="239">
        <v>0</v>
      </c>
      <c r="H88" s="239"/>
    </row>
    <row r="89" spans="1:8" x14ac:dyDescent="0.25">
      <c r="A89" s="239" t="s">
        <v>123</v>
      </c>
      <c r="B89" s="280">
        <v>44440.721273148149</v>
      </c>
      <c r="C89" s="239" t="s">
        <v>684</v>
      </c>
      <c r="D89" s="239">
        <v>15</v>
      </c>
      <c r="E89" s="239">
        <v>0.5</v>
      </c>
      <c r="F89" s="239">
        <v>0.03</v>
      </c>
      <c r="G89" s="239">
        <f>E89*F89*6/D89</f>
        <v>6.0000000000000001E-3</v>
      </c>
      <c r="H89" s="239"/>
    </row>
    <row r="90" spans="1:8" x14ac:dyDescent="0.25">
      <c r="A90" s="239" t="s">
        <v>168</v>
      </c>
      <c r="B90" s="280">
        <v>44440.72216435185</v>
      </c>
      <c r="C90" s="239" t="s">
        <v>685</v>
      </c>
      <c r="D90" s="239">
        <v>0</v>
      </c>
      <c r="E90" s="239">
        <v>0</v>
      </c>
      <c r="F90" s="239">
        <v>0</v>
      </c>
      <c r="G90" s="239">
        <v>0</v>
      </c>
      <c r="H90" s="239"/>
    </row>
    <row r="91" spans="1:8" x14ac:dyDescent="0.25">
      <c r="A91" s="239" t="s">
        <v>167</v>
      </c>
      <c r="B91" s="280">
        <v>44440.724398148159</v>
      </c>
      <c r="C91" s="239" t="s">
        <v>687</v>
      </c>
      <c r="D91" s="239">
        <v>0</v>
      </c>
      <c r="E91" s="239">
        <v>0</v>
      </c>
      <c r="F91" s="239">
        <v>0</v>
      </c>
      <c r="G91" s="239">
        <v>0</v>
      </c>
      <c r="H91" s="239"/>
    </row>
    <row r="92" spans="1:8" x14ac:dyDescent="0.25">
      <c r="A92" s="239" t="s">
        <v>175</v>
      </c>
      <c r="B92" s="280">
        <v>44440.739988425928</v>
      </c>
      <c r="C92" s="239" t="s">
        <v>684</v>
      </c>
      <c r="D92" s="239">
        <v>5</v>
      </c>
      <c r="E92" s="239">
        <v>0.8</v>
      </c>
      <c r="F92" s="239">
        <v>0.09</v>
      </c>
      <c r="G92" s="239">
        <f t="shared" ref="G92:G98" si="5">E92*F92*6/D92</f>
        <v>8.6399999999999991E-2</v>
      </c>
      <c r="H92" s="239"/>
    </row>
    <row r="93" spans="1:8" x14ac:dyDescent="0.25">
      <c r="A93" s="239" t="s">
        <v>173</v>
      </c>
      <c r="B93" s="280">
        <v>44440.775752314818</v>
      </c>
      <c r="C93" s="239" t="s">
        <v>684</v>
      </c>
      <c r="D93" s="239">
        <v>7.2</v>
      </c>
      <c r="E93" s="239">
        <v>1.9</v>
      </c>
      <c r="F93" s="239">
        <v>0.01</v>
      </c>
      <c r="G93" s="239">
        <f t="shared" si="5"/>
        <v>1.5833333333333331E-2</v>
      </c>
      <c r="H93" s="239"/>
    </row>
    <row r="94" spans="1:8" x14ac:dyDescent="0.25">
      <c r="A94" s="239" t="s">
        <v>137</v>
      </c>
      <c r="B94" s="280">
        <v>44446.608564814807</v>
      </c>
      <c r="C94" s="239" t="s">
        <v>684</v>
      </c>
      <c r="D94" s="239">
        <v>9</v>
      </c>
      <c r="E94" s="239">
        <v>0.75</v>
      </c>
      <c r="F94" s="239">
        <v>0.01</v>
      </c>
      <c r="G94" s="239">
        <f t="shared" si="5"/>
        <v>5.0000000000000001E-3</v>
      </c>
      <c r="H94" s="239">
        <v>6.9000000000000006E-2</v>
      </c>
    </row>
    <row r="95" spans="1:8" x14ac:dyDescent="0.25">
      <c r="A95" s="239" t="s">
        <v>140</v>
      </c>
      <c r="B95" s="280">
        <v>44446.613993055558</v>
      </c>
      <c r="C95" s="239" t="s">
        <v>684</v>
      </c>
      <c r="D95" s="239">
        <v>7</v>
      </c>
      <c r="E95" s="239">
        <v>0.56999999999999995</v>
      </c>
      <c r="F95" s="239">
        <v>0.02</v>
      </c>
      <c r="G95" s="239">
        <f t="shared" si="5"/>
        <v>9.7714285714285698E-3</v>
      </c>
      <c r="H95" s="239">
        <v>8.9999999999999993E-3</v>
      </c>
    </row>
    <row r="96" spans="1:8" x14ac:dyDescent="0.25">
      <c r="A96" s="239" t="s">
        <v>110</v>
      </c>
      <c r="B96" s="280">
        <v>44446.663402777784</v>
      </c>
      <c r="C96" s="239" t="s">
        <v>684</v>
      </c>
      <c r="D96" s="239">
        <v>3</v>
      </c>
      <c r="E96" s="239">
        <v>0.8</v>
      </c>
      <c r="F96" s="239">
        <v>0.05</v>
      </c>
      <c r="G96" s="239">
        <f t="shared" si="5"/>
        <v>8.0000000000000016E-2</v>
      </c>
      <c r="H96" s="239">
        <v>2.5000000000000001E-2</v>
      </c>
    </row>
    <row r="97" spans="1:10" x14ac:dyDescent="0.25">
      <c r="A97" s="239" t="s">
        <v>142</v>
      </c>
      <c r="B97" s="280">
        <v>44446.664907407408</v>
      </c>
      <c r="C97" s="239" t="s">
        <v>684</v>
      </c>
      <c r="D97" s="239">
        <v>18</v>
      </c>
      <c r="E97" s="239">
        <v>1.3</v>
      </c>
      <c r="F97" s="239">
        <v>0.03</v>
      </c>
      <c r="G97" s="239">
        <f t="shared" si="5"/>
        <v>1.2999999999999999E-2</v>
      </c>
      <c r="H97" s="22"/>
      <c r="I97" s="239"/>
      <c r="J97" s="239"/>
    </row>
    <row r="98" spans="1:10" x14ac:dyDescent="0.25">
      <c r="A98" s="239" t="s">
        <v>105</v>
      </c>
      <c r="B98" s="280">
        <v>44446.697546296287</v>
      </c>
      <c r="C98" s="239" t="s">
        <v>684</v>
      </c>
      <c r="D98" s="239">
        <v>4</v>
      </c>
      <c r="E98" s="239">
        <v>1.2</v>
      </c>
      <c r="F98" s="239">
        <v>0.05</v>
      </c>
      <c r="G98" s="239">
        <f t="shared" si="5"/>
        <v>0.09</v>
      </c>
      <c r="H98" s="22"/>
      <c r="I98" s="239"/>
      <c r="J98" s="239"/>
    </row>
    <row r="99" spans="1:10" x14ac:dyDescent="0.25">
      <c r="A99" s="239" t="s">
        <v>141</v>
      </c>
      <c r="B99" s="280">
        <v>44446.704421296286</v>
      </c>
      <c r="C99" s="239" t="s">
        <v>685</v>
      </c>
      <c r="D99" s="239">
        <v>0</v>
      </c>
      <c r="E99" s="239">
        <v>0</v>
      </c>
      <c r="F99" s="239">
        <v>0</v>
      </c>
      <c r="G99" s="239">
        <v>0</v>
      </c>
      <c r="H99" s="239"/>
      <c r="I99" s="239"/>
      <c r="J99" s="239"/>
    </row>
    <row r="100" spans="1:10" x14ac:dyDescent="0.25">
      <c r="A100" s="239" t="s">
        <v>139</v>
      </c>
      <c r="B100" s="280">
        <v>44446.726747685178</v>
      </c>
      <c r="C100" s="239" t="s">
        <v>684</v>
      </c>
      <c r="D100" s="239">
        <v>15</v>
      </c>
      <c r="E100" s="239">
        <v>5</v>
      </c>
      <c r="F100" s="239">
        <v>0.11</v>
      </c>
      <c r="G100" s="239">
        <f t="shared" ref="G100:G121" si="6">E100*F100*6/D100</f>
        <v>0.22000000000000003</v>
      </c>
      <c r="H100" s="239">
        <v>0.126</v>
      </c>
      <c r="I100" s="239"/>
      <c r="J100" s="239"/>
    </row>
    <row r="101" spans="1:10" x14ac:dyDescent="0.25">
      <c r="A101" s="239" t="s">
        <v>108</v>
      </c>
      <c r="B101" s="280">
        <v>44446.750555555547</v>
      </c>
      <c r="C101" s="239" t="s">
        <v>684</v>
      </c>
      <c r="D101" s="239">
        <v>4</v>
      </c>
      <c r="E101" s="239">
        <v>1.2</v>
      </c>
      <c r="F101" s="239">
        <v>7.0000000000000007E-2</v>
      </c>
      <c r="G101" s="239">
        <f t="shared" si="6"/>
        <v>0.126</v>
      </c>
      <c r="H101" s="239">
        <v>6.6000000000000003E-2</v>
      </c>
      <c r="I101" s="239"/>
      <c r="J101" s="239"/>
    </row>
    <row r="102" spans="1:10" x14ac:dyDescent="0.25">
      <c r="A102" s="239" t="s">
        <v>107</v>
      </c>
      <c r="B102" s="280">
        <v>44448.662569444437</v>
      </c>
      <c r="C102" s="239" t="s">
        <v>684</v>
      </c>
      <c r="D102" s="239">
        <v>2.2999999999999998</v>
      </c>
      <c r="E102" s="239">
        <v>14</v>
      </c>
      <c r="F102" s="239">
        <v>0.06</v>
      </c>
      <c r="G102" s="22">
        <f t="shared" si="6"/>
        <v>2.1913043478260872</v>
      </c>
      <c r="H102" s="239">
        <v>2.21</v>
      </c>
      <c r="I102" s="239"/>
      <c r="J102" s="239"/>
    </row>
    <row r="103" spans="1:10" x14ac:dyDescent="0.25">
      <c r="A103" s="239" t="s">
        <v>150</v>
      </c>
      <c r="B103" s="280">
        <v>44448.666516203702</v>
      </c>
      <c r="C103" s="239" t="s">
        <v>684</v>
      </c>
      <c r="D103" s="239">
        <v>7</v>
      </c>
      <c r="E103" s="239">
        <v>1.5</v>
      </c>
      <c r="F103" s="239">
        <v>0.09</v>
      </c>
      <c r="G103" s="239">
        <f t="shared" si="6"/>
        <v>0.11571428571428573</v>
      </c>
      <c r="H103" s="239"/>
      <c r="I103" s="239"/>
      <c r="J103" s="239"/>
    </row>
    <row r="104" spans="1:10" x14ac:dyDescent="0.25">
      <c r="A104" s="239" t="s">
        <v>112</v>
      </c>
      <c r="B104" s="280">
        <v>44448.66679398148</v>
      </c>
      <c r="C104" s="239" t="s">
        <v>684</v>
      </c>
      <c r="D104" s="239">
        <v>1.5</v>
      </c>
      <c r="E104" s="239">
        <v>2.1</v>
      </c>
      <c r="F104" s="239">
        <v>0.12</v>
      </c>
      <c r="G104" s="239">
        <f t="shared" si="6"/>
        <v>1.008</v>
      </c>
      <c r="H104" s="239"/>
      <c r="I104" s="239"/>
      <c r="J104" s="239"/>
    </row>
    <row r="105" spans="1:10" x14ac:dyDescent="0.25">
      <c r="A105" s="239" t="s">
        <v>113</v>
      </c>
      <c r="B105" s="280">
        <v>44448.709074074082</v>
      </c>
      <c r="C105" s="239" t="s">
        <v>684</v>
      </c>
      <c r="D105" s="239">
        <v>9</v>
      </c>
      <c r="E105" s="239">
        <v>0.4</v>
      </c>
      <c r="F105" s="239">
        <v>0.2</v>
      </c>
      <c r="G105" s="239">
        <f t="shared" si="6"/>
        <v>5.3333333333333344E-2</v>
      </c>
      <c r="H105" s="239"/>
      <c r="I105" s="239"/>
      <c r="J105" s="239"/>
    </row>
    <row r="106" spans="1:10" x14ac:dyDescent="0.25">
      <c r="A106" s="239" t="s">
        <v>145</v>
      </c>
      <c r="B106" s="280">
        <v>44448.714421296303</v>
      </c>
      <c r="C106" s="239" t="s">
        <v>684</v>
      </c>
      <c r="D106" s="239">
        <v>2.5</v>
      </c>
      <c r="E106" s="239">
        <v>1.2</v>
      </c>
      <c r="F106" s="239">
        <v>0.12</v>
      </c>
      <c r="G106" s="239">
        <f t="shared" si="6"/>
        <v>0.34559999999999996</v>
      </c>
      <c r="H106" s="239"/>
      <c r="I106" s="239"/>
      <c r="J106" s="239"/>
    </row>
    <row r="107" spans="1:10" x14ac:dyDescent="0.25">
      <c r="A107" s="239" t="s">
        <v>106</v>
      </c>
      <c r="B107" s="280">
        <v>44448.714606481481</v>
      </c>
      <c r="C107" s="239" t="s">
        <v>684</v>
      </c>
      <c r="D107" s="239">
        <v>1.35</v>
      </c>
      <c r="E107" s="239">
        <v>1.87</v>
      </c>
      <c r="F107" s="239">
        <v>0.12</v>
      </c>
      <c r="G107" s="239">
        <f t="shared" si="6"/>
        <v>0.99733333333333329</v>
      </c>
      <c r="H107" s="22"/>
      <c r="I107" s="239"/>
      <c r="J107" s="239"/>
    </row>
    <row r="108" spans="1:10" x14ac:dyDescent="0.25">
      <c r="A108" s="239" t="s">
        <v>148</v>
      </c>
      <c r="B108" s="280">
        <v>44448.741886574076</v>
      </c>
      <c r="C108" s="239" t="s">
        <v>684</v>
      </c>
      <c r="D108" s="239">
        <v>2</v>
      </c>
      <c r="E108" s="239">
        <v>1.7</v>
      </c>
      <c r="F108" s="239">
        <v>0.16</v>
      </c>
      <c r="G108" s="239">
        <f t="shared" si="6"/>
        <v>0.81600000000000006</v>
      </c>
      <c r="H108" s="22"/>
      <c r="I108" s="239"/>
      <c r="J108" s="239"/>
    </row>
    <row r="109" spans="1:10" x14ac:dyDescent="0.25">
      <c r="A109" s="239" t="s">
        <v>104</v>
      </c>
      <c r="B109" s="280">
        <v>44448.751886574071</v>
      </c>
      <c r="C109" s="239" t="s">
        <v>684</v>
      </c>
      <c r="D109" s="239">
        <v>3.3</v>
      </c>
      <c r="E109" s="239">
        <v>1.1499999999999999</v>
      </c>
      <c r="F109" s="239">
        <v>0.04</v>
      </c>
      <c r="G109" s="239">
        <f t="shared" si="6"/>
        <v>8.3636363636363648E-2</v>
      </c>
      <c r="H109" s="239">
        <v>8.0000000000000002E-3</v>
      </c>
      <c r="I109" s="239"/>
      <c r="J109" s="239"/>
    </row>
    <row r="110" spans="1:10" x14ac:dyDescent="0.25">
      <c r="A110" s="239" t="s">
        <v>115</v>
      </c>
      <c r="B110" s="280">
        <v>44448.775636574072</v>
      </c>
      <c r="C110" s="239" t="s">
        <v>684</v>
      </c>
      <c r="D110" s="239">
        <v>2.4</v>
      </c>
      <c r="E110" s="239">
        <v>1.39</v>
      </c>
      <c r="F110" s="239">
        <v>7.0000000000000007E-2</v>
      </c>
      <c r="G110" s="239">
        <f t="shared" si="6"/>
        <v>0.24324999999999999</v>
      </c>
      <c r="H110" s="239"/>
      <c r="I110" s="239"/>
      <c r="J110" s="239"/>
    </row>
    <row r="111" spans="1:10" x14ac:dyDescent="0.25">
      <c r="A111" s="239" t="s">
        <v>124</v>
      </c>
      <c r="B111" s="280">
        <v>44452.644444444442</v>
      </c>
      <c r="C111" s="239" t="s">
        <v>684</v>
      </c>
      <c r="D111" s="239">
        <v>5</v>
      </c>
      <c r="E111" s="239">
        <v>1.3</v>
      </c>
      <c r="F111" s="239">
        <v>0.1</v>
      </c>
      <c r="G111" s="239">
        <f t="shared" si="6"/>
        <v>0.156</v>
      </c>
      <c r="H111" s="239"/>
      <c r="I111" s="239"/>
      <c r="J111" s="239"/>
    </row>
    <row r="112" spans="1:10" x14ac:dyDescent="0.25">
      <c r="A112" s="239" t="s">
        <v>130</v>
      </c>
      <c r="B112" s="280">
        <v>44452.696898148148</v>
      </c>
      <c r="C112" s="239" t="s">
        <v>684</v>
      </c>
      <c r="D112" s="239">
        <v>11</v>
      </c>
      <c r="E112" s="239">
        <v>0.7</v>
      </c>
      <c r="F112" s="239">
        <v>0.04</v>
      </c>
      <c r="G112" s="239">
        <f t="shared" si="6"/>
        <v>1.5272727272727271E-2</v>
      </c>
      <c r="H112" s="239">
        <v>3.0000000000000001E-3</v>
      </c>
      <c r="I112" s="239"/>
      <c r="J112" s="239"/>
    </row>
    <row r="113" spans="1:8" x14ac:dyDescent="0.25">
      <c r="A113" s="239" t="s">
        <v>132</v>
      </c>
      <c r="B113" s="280">
        <v>44452.720370370371</v>
      </c>
      <c r="C113" s="239" t="s">
        <v>684</v>
      </c>
      <c r="D113" s="239">
        <v>7</v>
      </c>
      <c r="E113" s="239">
        <v>0.7</v>
      </c>
      <c r="F113" s="239">
        <v>0.1</v>
      </c>
      <c r="G113" s="239">
        <f t="shared" si="6"/>
        <v>5.9999999999999991E-2</v>
      </c>
      <c r="H113" s="239"/>
    </row>
    <row r="114" spans="1:8" x14ac:dyDescent="0.25">
      <c r="A114" s="239" t="s">
        <v>128</v>
      </c>
      <c r="B114" s="280">
        <v>44452.74486111111</v>
      </c>
      <c r="C114" s="239" t="s">
        <v>684</v>
      </c>
      <c r="D114" s="239">
        <v>3.72</v>
      </c>
      <c r="E114" s="239">
        <v>1.05</v>
      </c>
      <c r="F114" s="239">
        <v>0.05</v>
      </c>
      <c r="G114" s="239">
        <f t="shared" si="6"/>
        <v>8.4677419354838718E-2</v>
      </c>
      <c r="H114" s="239">
        <v>8.7999999999999995E-2</v>
      </c>
    </row>
    <row r="115" spans="1:8" x14ac:dyDescent="0.25">
      <c r="A115" s="239" t="s">
        <v>157</v>
      </c>
      <c r="B115" s="280">
        <v>44453.64</v>
      </c>
      <c r="C115" s="239" t="s">
        <v>684</v>
      </c>
      <c r="D115" s="239">
        <v>2.4900000000000002</v>
      </c>
      <c r="E115" s="239">
        <v>0.75</v>
      </c>
      <c r="F115" s="239">
        <v>0.05</v>
      </c>
      <c r="G115" s="239">
        <f t="shared" si="6"/>
        <v>9.036144578313253E-2</v>
      </c>
      <c r="H115" s="239"/>
    </row>
    <row r="116" spans="1:8" x14ac:dyDescent="0.25">
      <c r="A116" s="239" t="s">
        <v>162</v>
      </c>
      <c r="B116" s="280">
        <v>44453.659780092603</v>
      </c>
      <c r="C116" s="239" t="s">
        <v>684</v>
      </c>
      <c r="D116" s="239">
        <v>7</v>
      </c>
      <c r="E116" s="239">
        <v>0.3</v>
      </c>
      <c r="F116" s="239">
        <v>0.01</v>
      </c>
      <c r="G116" s="239">
        <f t="shared" si="6"/>
        <v>2.5714285714285717E-3</v>
      </c>
      <c r="H116" s="239"/>
    </row>
    <row r="117" spans="1:8" x14ac:dyDescent="0.25">
      <c r="A117" s="239" t="s">
        <v>163</v>
      </c>
      <c r="B117" s="280">
        <v>44453.685254629629</v>
      </c>
      <c r="C117" s="239" t="s">
        <v>684</v>
      </c>
      <c r="D117" s="239">
        <v>2</v>
      </c>
      <c r="E117" s="239">
        <v>0.56999999999999995</v>
      </c>
      <c r="F117" s="239">
        <v>0.05</v>
      </c>
      <c r="G117" s="239">
        <f t="shared" si="6"/>
        <v>8.5499999999999993E-2</v>
      </c>
      <c r="H117" s="239"/>
    </row>
    <row r="118" spans="1:8" x14ac:dyDescent="0.25">
      <c r="A118" s="239" t="s">
        <v>160</v>
      </c>
      <c r="B118" s="280">
        <v>44453.706053240741</v>
      </c>
      <c r="C118" s="239" t="s">
        <v>684</v>
      </c>
      <c r="D118" s="239">
        <v>3</v>
      </c>
      <c r="E118" s="239">
        <v>1.5</v>
      </c>
      <c r="F118" s="239">
        <v>0.18</v>
      </c>
      <c r="G118" s="239">
        <f t="shared" si="6"/>
        <v>0.54</v>
      </c>
      <c r="H118" s="239"/>
    </row>
    <row r="119" spans="1:8" x14ac:dyDescent="0.25">
      <c r="A119" s="239" t="s">
        <v>166</v>
      </c>
      <c r="B119" s="280">
        <v>44453.712997685187</v>
      </c>
      <c r="C119" s="239" t="s">
        <v>684</v>
      </c>
      <c r="D119" s="239">
        <v>2</v>
      </c>
      <c r="E119" s="239">
        <v>1.05</v>
      </c>
      <c r="F119" s="239">
        <v>0.04</v>
      </c>
      <c r="G119" s="239">
        <f t="shared" si="6"/>
        <v>0.126</v>
      </c>
      <c r="H119" s="239"/>
    </row>
    <row r="120" spans="1:8" x14ac:dyDescent="0.25">
      <c r="A120" s="239" t="s">
        <v>161</v>
      </c>
      <c r="B120" s="280">
        <v>44453.750300925924</v>
      </c>
      <c r="C120" s="239" t="s">
        <v>684</v>
      </c>
      <c r="D120" s="239">
        <v>2.5</v>
      </c>
      <c r="E120" s="239">
        <v>1.9</v>
      </c>
      <c r="F120" s="239">
        <v>0.17</v>
      </c>
      <c r="G120" s="239">
        <f t="shared" si="6"/>
        <v>0.77520000000000011</v>
      </c>
      <c r="H120" s="239"/>
    </row>
    <row r="121" spans="1:8" x14ac:dyDescent="0.25">
      <c r="A121" s="239" t="s">
        <v>101</v>
      </c>
      <c r="B121" s="280">
        <v>44455.683530092603</v>
      </c>
      <c r="C121" s="239" t="s">
        <v>684</v>
      </c>
      <c r="D121" s="239">
        <v>4</v>
      </c>
      <c r="E121" s="239">
        <v>1</v>
      </c>
      <c r="F121" s="239">
        <v>0.05</v>
      </c>
      <c r="G121" s="239">
        <f t="shared" si="6"/>
        <v>7.5000000000000011E-2</v>
      </c>
      <c r="H121" s="239">
        <v>1.2E-2</v>
      </c>
    </row>
    <row r="122" spans="1:8" x14ac:dyDescent="0.25">
      <c r="A122" s="239" t="s">
        <v>335</v>
      </c>
      <c r="B122" s="280">
        <v>44477.746701388889</v>
      </c>
      <c r="C122" s="239" t="s">
        <v>684</v>
      </c>
      <c r="D122" s="239">
        <v>0</v>
      </c>
      <c r="E122" s="239">
        <v>0</v>
      </c>
      <c r="F122" s="239">
        <v>0</v>
      </c>
      <c r="G122" s="239">
        <v>0</v>
      </c>
      <c r="H122" s="239"/>
    </row>
    <row r="123" spans="1:8" x14ac:dyDescent="0.25">
      <c r="A123" s="239" t="s">
        <v>113</v>
      </c>
      <c r="B123" s="280">
        <v>44495.767106481479</v>
      </c>
      <c r="C123" s="239" t="s">
        <v>684</v>
      </c>
      <c r="D123" s="239">
        <v>2.5</v>
      </c>
      <c r="E123" s="239">
        <v>1.3</v>
      </c>
      <c r="F123" s="239">
        <v>0.08</v>
      </c>
      <c r="G123" s="239">
        <f>E123*F123*6/D123</f>
        <v>0.24960000000000004</v>
      </c>
      <c r="H123" s="239"/>
    </row>
    <row r="124" spans="1:8" x14ac:dyDescent="0.25">
      <c r="A124" s="19"/>
      <c r="B124" s="17"/>
      <c r="C124" s="17"/>
      <c r="D124" s="17"/>
      <c r="E124" s="19"/>
      <c r="F124" s="19"/>
      <c r="G124" s="19"/>
      <c r="H124" s="19"/>
    </row>
    <row r="125" spans="1:8" x14ac:dyDescent="0.25">
      <c r="A125" s="19"/>
      <c r="B125" s="17"/>
      <c r="C125" s="17"/>
      <c r="D125" s="17"/>
      <c r="E125" s="19"/>
      <c r="F125" s="19"/>
      <c r="G125" s="19"/>
      <c r="H125" s="19"/>
    </row>
    <row r="126" spans="1:8" x14ac:dyDescent="0.25">
      <c r="A126" s="19"/>
      <c r="B126" s="17"/>
      <c r="C126" s="17"/>
      <c r="D126" s="17"/>
      <c r="E126" s="19"/>
      <c r="F126" s="19"/>
      <c r="G126" s="19"/>
      <c r="H126" s="19"/>
    </row>
    <row r="127" spans="1:8" x14ac:dyDescent="0.25">
      <c r="A127" s="19"/>
      <c r="B127" s="17"/>
      <c r="C127" s="17"/>
      <c r="D127" s="17"/>
      <c r="E127" s="19"/>
      <c r="F127" s="19"/>
      <c r="G127" s="19"/>
      <c r="H127" s="19"/>
    </row>
    <row r="128" spans="1:8" x14ac:dyDescent="0.25">
      <c r="A128" s="19"/>
      <c r="B128" s="17"/>
      <c r="C128" s="17"/>
      <c r="D128" s="17"/>
      <c r="E128" s="19"/>
      <c r="F128" s="19"/>
      <c r="G128" s="19"/>
      <c r="H128" s="19"/>
    </row>
    <row r="129" spans="1:8" x14ac:dyDescent="0.25">
      <c r="A129" s="19"/>
      <c r="B129" s="17"/>
      <c r="C129" s="17"/>
      <c r="D129" s="17"/>
      <c r="E129" s="19"/>
      <c r="F129" s="19"/>
      <c r="G129" s="19"/>
      <c r="H129" s="19"/>
    </row>
    <row r="130" spans="1:8" x14ac:dyDescent="0.25">
      <c r="A130" s="19"/>
      <c r="B130" s="17"/>
      <c r="C130" s="17"/>
      <c r="D130" s="17"/>
      <c r="E130" s="19"/>
      <c r="F130" s="19"/>
      <c r="G130" s="19"/>
      <c r="H130" s="19"/>
    </row>
    <row r="131" spans="1:8" x14ac:dyDescent="0.25">
      <c r="A131" s="19"/>
      <c r="B131" s="17"/>
      <c r="C131" s="17"/>
      <c r="D131" s="17"/>
      <c r="E131" s="19"/>
      <c r="F131" s="19"/>
      <c r="G131" s="19"/>
      <c r="H131" s="19"/>
    </row>
    <row r="132" spans="1:8" x14ac:dyDescent="0.25">
      <c r="A132" s="19"/>
      <c r="B132" s="17"/>
      <c r="C132" s="17"/>
      <c r="D132" s="17"/>
      <c r="E132" s="19"/>
      <c r="F132" s="19"/>
      <c r="G132" s="19"/>
      <c r="H132" s="19"/>
    </row>
    <row r="133" spans="1:8" x14ac:dyDescent="0.25">
      <c r="A133" s="239" t="s">
        <v>110</v>
      </c>
      <c r="B133" s="280">
        <v>44419.604803240742</v>
      </c>
      <c r="C133" s="239" t="s">
        <v>684</v>
      </c>
      <c r="D133" s="239">
        <v>2.58</v>
      </c>
      <c r="E133" s="239">
        <v>0.8</v>
      </c>
      <c r="F133" s="239">
        <v>0.06</v>
      </c>
      <c r="G133" s="239">
        <f t="shared" ref="G133:G142" si="7">E133*F133*6/D133</f>
        <v>0.1116279069767442</v>
      </c>
      <c r="H133" s="239"/>
    </row>
    <row r="134" spans="1:8" x14ac:dyDescent="0.25">
      <c r="A134" s="239" t="s">
        <v>109</v>
      </c>
      <c r="B134" s="280">
        <v>44419.635914351849</v>
      </c>
      <c r="C134" s="239" t="s">
        <v>684</v>
      </c>
      <c r="D134" s="239">
        <v>2.5</v>
      </c>
      <c r="E134" s="239">
        <v>0.9</v>
      </c>
      <c r="F134" s="239">
        <v>0.06</v>
      </c>
      <c r="G134" s="239">
        <f t="shared" si="7"/>
        <v>0.12959999999999999</v>
      </c>
      <c r="H134" s="239"/>
    </row>
    <row r="135" spans="1:8" x14ac:dyDescent="0.25">
      <c r="A135" s="239" t="s">
        <v>152</v>
      </c>
      <c r="B135" s="280">
        <v>44419.643043981479</v>
      </c>
      <c r="C135" s="239" t="s">
        <v>684</v>
      </c>
      <c r="D135" s="239">
        <v>3</v>
      </c>
      <c r="E135" s="239">
        <v>1.65</v>
      </c>
      <c r="F135" s="239">
        <v>0.08</v>
      </c>
      <c r="G135" s="239">
        <f t="shared" si="7"/>
        <v>0.26400000000000001</v>
      </c>
      <c r="H135" s="239"/>
    </row>
    <row r="136" spans="1:8" x14ac:dyDescent="0.25">
      <c r="A136" s="239" t="s">
        <v>144</v>
      </c>
      <c r="B136" s="280">
        <v>44419.682650462957</v>
      </c>
      <c r="C136" s="239" t="s">
        <v>684</v>
      </c>
      <c r="D136" s="239">
        <v>14.1</v>
      </c>
      <c r="E136" s="239">
        <v>3.35</v>
      </c>
      <c r="F136" s="239">
        <v>0.45</v>
      </c>
      <c r="G136" s="239">
        <f t="shared" si="7"/>
        <v>0.64148936170212767</v>
      </c>
      <c r="H136" s="239"/>
    </row>
    <row r="137" spans="1:8" x14ac:dyDescent="0.25">
      <c r="A137" s="239" t="s">
        <v>111</v>
      </c>
      <c r="B137" s="280">
        <v>44419.715763888889</v>
      </c>
      <c r="C137" s="239" t="s">
        <v>684</v>
      </c>
      <c r="D137" s="239">
        <v>2.5</v>
      </c>
      <c r="E137" s="239">
        <v>0.9</v>
      </c>
      <c r="F137" s="239">
        <v>0.05</v>
      </c>
      <c r="G137" s="239">
        <f t="shared" si="7"/>
        <v>0.10800000000000001</v>
      </c>
      <c r="H137" s="239"/>
    </row>
    <row r="138" spans="1:8" x14ac:dyDescent="0.25">
      <c r="A138" s="239" t="s">
        <v>110</v>
      </c>
      <c r="B138" s="280">
        <v>44425.605081018519</v>
      </c>
      <c r="C138" s="239" t="s">
        <v>684</v>
      </c>
      <c r="D138" s="239">
        <v>3.05</v>
      </c>
      <c r="E138" s="239">
        <v>0.85</v>
      </c>
      <c r="F138" s="239">
        <v>0.05</v>
      </c>
      <c r="G138" s="239">
        <f t="shared" si="7"/>
        <v>8.3606557377049182E-2</v>
      </c>
      <c r="H138" s="239"/>
    </row>
    <row r="139" spans="1:8" x14ac:dyDescent="0.25">
      <c r="A139" s="239" t="s">
        <v>152</v>
      </c>
      <c r="B139" s="280">
        <v>44425.61445601852</v>
      </c>
      <c r="C139" s="239" t="s">
        <v>684</v>
      </c>
      <c r="D139" s="239">
        <v>3</v>
      </c>
      <c r="E139" s="239">
        <v>0.8</v>
      </c>
      <c r="F139" s="239">
        <v>0.11</v>
      </c>
      <c r="G139" s="239">
        <f t="shared" si="7"/>
        <v>0.17600000000000002</v>
      </c>
      <c r="H139" s="239"/>
    </row>
    <row r="140" spans="1:8" x14ac:dyDescent="0.25">
      <c r="A140" s="239" t="s">
        <v>109</v>
      </c>
      <c r="B140" s="280">
        <v>44425.662905092591</v>
      </c>
      <c r="C140" s="239" t="s">
        <v>684</v>
      </c>
      <c r="D140" s="239">
        <v>3.5</v>
      </c>
      <c r="E140" s="239">
        <v>0.93</v>
      </c>
      <c r="F140" s="239">
        <v>0.04</v>
      </c>
      <c r="G140" s="239">
        <f t="shared" si="7"/>
        <v>6.3771428571428576E-2</v>
      </c>
      <c r="H140" s="239"/>
    </row>
    <row r="141" spans="1:8" x14ac:dyDescent="0.25">
      <c r="A141" s="239" t="s">
        <v>144</v>
      </c>
      <c r="B141" s="280">
        <v>44425.701724537037</v>
      </c>
      <c r="C141" s="239" t="s">
        <v>684</v>
      </c>
      <c r="D141" s="239">
        <v>16</v>
      </c>
      <c r="E141" s="239">
        <v>3.3</v>
      </c>
      <c r="F141" s="239">
        <v>0.48</v>
      </c>
      <c r="G141" s="239">
        <f t="shared" si="7"/>
        <v>0.59399999999999997</v>
      </c>
      <c r="H141" s="239"/>
    </row>
    <row r="142" spans="1:8" x14ac:dyDescent="0.25">
      <c r="A142" s="239" t="s">
        <v>111</v>
      </c>
      <c r="B142" s="280">
        <v>44425.750358796293</v>
      </c>
      <c r="C142" s="239" t="s">
        <v>684</v>
      </c>
      <c r="D142" s="239">
        <v>8</v>
      </c>
      <c r="E142" s="239">
        <v>0.85</v>
      </c>
      <c r="F142" s="239">
        <v>0.06</v>
      </c>
      <c r="G142" s="239">
        <f t="shared" si="7"/>
        <v>3.8249999999999999E-2</v>
      </c>
      <c r="H142" s="239"/>
    </row>
  </sheetData>
  <autoFilter ref="A1:H123" xr:uid="{2A2FE8CC-AEE2-4FC1-A1DD-2CC25E2ED68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T125"/>
  <sheetViews>
    <sheetView view="pageBreakPreview" topLeftCell="AF1" zoomScale="60" zoomScaleNormal="85" workbookViewId="0">
      <selection activeCell="AR7" sqref="AR7"/>
    </sheetView>
  </sheetViews>
  <sheetFormatPr defaultRowHeight="24.75" x14ac:dyDescent="0.4"/>
  <cols>
    <col min="1" max="1" width="35.5703125" style="70" customWidth="1"/>
    <col min="2" max="2" width="37.28515625" style="70" customWidth="1"/>
    <col min="3" max="3" width="10.140625" style="70" hidden="1" customWidth="1"/>
    <col min="4" max="4" width="27.28515625" style="71" customWidth="1"/>
    <col min="5" max="5" width="6.28515625" style="71" customWidth="1"/>
    <col min="6" max="6" width="9.5703125" style="72" customWidth="1"/>
    <col min="7" max="7" width="8.42578125" style="70" bestFit="1" customWidth="1"/>
    <col min="8" max="8" width="12.28515625" style="70" bestFit="1" customWidth="1"/>
    <col min="9" max="9" width="8.85546875" style="70" customWidth="1"/>
    <col min="10" max="10" width="12.5703125" style="70" customWidth="1"/>
    <col min="11" max="11" width="14.42578125" style="70" bestFit="1" customWidth="1"/>
    <col min="12" max="12" width="15.28515625" style="70" customWidth="1"/>
    <col min="13" max="13" width="14.42578125" style="70" bestFit="1" customWidth="1"/>
    <col min="14" max="14" width="14.7109375" style="70" customWidth="1"/>
    <col min="15" max="15" width="11.28515625" style="70" customWidth="1"/>
    <col min="16" max="16" width="10.42578125" style="70" customWidth="1"/>
    <col min="17" max="17" width="15.140625" style="70" customWidth="1"/>
    <col min="18" max="18" width="12.42578125" style="70" customWidth="1"/>
    <col min="19" max="19" width="9.85546875" style="70" customWidth="1"/>
    <col min="20" max="20" width="8.42578125" style="70" bestFit="1" customWidth="1"/>
    <col min="21" max="21" width="9.85546875" style="70" bestFit="1" customWidth="1"/>
    <col min="22" max="22" width="8.42578125" style="70" bestFit="1" customWidth="1"/>
    <col min="23" max="23" width="12.28515625" style="70" bestFit="1" customWidth="1"/>
    <col min="24" max="24" width="11.5703125" style="70" customWidth="1"/>
    <col min="25" max="25" width="6" style="70" customWidth="1"/>
    <col min="26" max="26" width="8.42578125" style="70" bestFit="1" customWidth="1"/>
    <col min="27" max="27" width="6.28515625" style="70" bestFit="1" customWidth="1"/>
    <col min="28" max="28" width="7.7109375" style="70" bestFit="1" customWidth="1"/>
    <col min="29" max="29" width="8.42578125" style="70" bestFit="1" customWidth="1"/>
    <col min="30" max="30" width="9.5703125" style="70" bestFit="1" customWidth="1"/>
    <col min="31" max="31" width="7.7109375" style="70" bestFit="1" customWidth="1"/>
    <col min="32" max="32" width="10.28515625" style="234" bestFit="1" customWidth="1"/>
    <col min="33" max="33" width="8.7109375" style="70" customWidth="1"/>
    <col min="34" max="34" width="13.28515625" style="70" customWidth="1"/>
    <col min="35" max="35" width="12.28515625" style="70" bestFit="1" customWidth="1"/>
    <col min="36" max="36" width="7.7109375" style="70" bestFit="1" customWidth="1"/>
    <col min="37" max="37" width="8.28515625" style="70" customWidth="1"/>
    <col min="38" max="38" width="7.28515625" style="70" customWidth="1"/>
    <col min="39" max="39" width="9" style="70" customWidth="1"/>
    <col min="40" max="40" width="10.85546875" style="70" customWidth="1"/>
    <col min="41" max="41" width="9.140625" style="70" bestFit="1" customWidth="1"/>
    <col min="42" max="42" width="17.85546875" style="70" customWidth="1"/>
    <col min="43" max="43" width="9.140625" style="70" customWidth="1"/>
    <col min="44" max="44" width="9.7109375" style="70" customWidth="1"/>
    <col min="45" max="45" width="12.85546875" style="70" customWidth="1"/>
    <col min="46" max="46" width="10.42578125" style="70" customWidth="1"/>
    <col min="47" max="47" width="13.140625" style="70" customWidth="1"/>
    <col min="48" max="48" width="12.28515625" style="70" customWidth="1"/>
    <col min="49" max="49" width="8.42578125" style="70" customWidth="1"/>
    <col min="50" max="50" width="11.5703125" style="70" customWidth="1"/>
    <col min="51" max="51" width="13.42578125" style="230" customWidth="1"/>
    <col min="52" max="52" width="10.28515625" style="70" hidden="1" customWidth="1"/>
    <col min="53" max="53" width="9.42578125" style="70" customWidth="1"/>
    <col min="54" max="54" width="10.5703125" style="70" customWidth="1"/>
    <col min="55" max="55" width="9.42578125" style="70" customWidth="1"/>
    <col min="56" max="56" width="8.42578125" style="70" bestFit="1" customWidth="1"/>
    <col min="57" max="57" width="9.140625" style="70" bestFit="1" customWidth="1"/>
    <col min="58" max="58" width="15.42578125" style="70" bestFit="1" customWidth="1"/>
    <col min="59" max="59" width="8.42578125" style="70" customWidth="1"/>
    <col min="60" max="60" width="9.5703125" style="70" customWidth="1"/>
    <col min="61" max="61" width="11.42578125" style="70" customWidth="1"/>
    <col min="62" max="62" width="10.140625" style="70" customWidth="1"/>
    <col min="63" max="63" width="12.42578125" style="70" bestFit="1" customWidth="1"/>
    <col min="64" max="64" width="8.42578125" style="70" bestFit="1" customWidth="1"/>
    <col min="65" max="65" width="10.140625" style="70" customWidth="1"/>
    <col min="66" max="66" width="8.42578125" style="70" bestFit="1" customWidth="1"/>
    <col min="67" max="67" width="9.85546875" style="70" bestFit="1" customWidth="1"/>
    <col min="68" max="16384" width="9.140625" style="70"/>
  </cols>
  <sheetData>
    <row r="1" spans="1:67" s="158" customFormat="1" ht="51.75" thickBot="1" x14ac:dyDescent="1.25">
      <c r="A1" s="69" t="s">
        <v>51</v>
      </c>
      <c r="D1" s="159"/>
      <c r="E1" s="159"/>
      <c r="F1" s="160"/>
      <c r="AF1" s="232"/>
      <c r="AY1" s="226"/>
    </row>
    <row r="2" spans="1:67" ht="18" customHeight="1" thickBot="1" x14ac:dyDescent="0.45">
      <c r="A2" s="73" t="s">
        <v>52</v>
      </c>
      <c r="B2" s="74"/>
      <c r="C2" s="74"/>
      <c r="D2" s="75"/>
      <c r="E2" s="76"/>
      <c r="F2" s="77"/>
      <c r="G2" s="78"/>
      <c r="H2" s="78"/>
      <c r="I2" s="78"/>
      <c r="J2" s="79"/>
      <c r="K2" s="377" t="s">
        <v>53</v>
      </c>
      <c r="L2" s="378"/>
      <c r="M2" s="378"/>
      <c r="N2" s="378"/>
      <c r="O2" s="378"/>
      <c r="P2" s="378"/>
      <c r="Q2" s="378"/>
      <c r="R2" s="378"/>
      <c r="S2" s="378"/>
      <c r="T2" s="378"/>
      <c r="U2" s="378"/>
      <c r="V2" s="378"/>
      <c r="W2" s="378"/>
      <c r="X2" s="378"/>
      <c r="Y2" s="378"/>
      <c r="Z2" s="378"/>
      <c r="AA2" s="378"/>
      <c r="AB2" s="378"/>
      <c r="AC2" s="378"/>
      <c r="AD2" s="378"/>
      <c r="AE2" s="378"/>
      <c r="AF2" s="378"/>
      <c r="AG2" s="378"/>
      <c r="AH2" s="378"/>
      <c r="AI2" s="378"/>
      <c r="AJ2" s="378"/>
      <c r="AK2" s="378"/>
      <c r="AL2" s="378"/>
      <c r="AM2" s="378"/>
      <c r="AN2" s="378"/>
      <c r="AO2" s="378"/>
      <c r="AP2" s="378"/>
      <c r="AQ2" s="378"/>
      <c r="AR2" s="378"/>
      <c r="AS2" s="378"/>
      <c r="AT2" s="378"/>
      <c r="AU2" s="378"/>
      <c r="AV2" s="378"/>
      <c r="AW2" s="378"/>
      <c r="AX2" s="378"/>
      <c r="AY2" s="378"/>
      <c r="AZ2" s="378"/>
      <c r="BA2" s="378"/>
      <c r="BB2" s="378"/>
      <c r="BC2" s="378"/>
      <c r="BD2" s="378"/>
      <c r="BE2" s="378"/>
      <c r="BF2" s="378"/>
      <c r="BG2" s="378"/>
      <c r="BH2" s="378"/>
      <c r="BI2" s="378"/>
      <c r="BJ2" s="378"/>
      <c r="BK2" s="378"/>
      <c r="BL2" s="378"/>
      <c r="BM2" s="378"/>
      <c r="BN2" s="378"/>
      <c r="BO2" s="379"/>
    </row>
    <row r="3" spans="1:67" s="84" customFormat="1" ht="25.5" customHeight="1" thickTop="1" thickBot="1" x14ac:dyDescent="0.35">
      <c r="A3" s="80"/>
      <c r="B3" s="81"/>
      <c r="C3" s="81"/>
      <c r="D3" s="82"/>
      <c r="E3" s="83"/>
      <c r="F3" s="408" t="s">
        <v>54</v>
      </c>
      <c r="G3" s="409"/>
      <c r="H3" s="409"/>
      <c r="I3" s="409"/>
      <c r="J3" s="410"/>
      <c r="K3" s="388" t="s">
        <v>55</v>
      </c>
      <c r="L3" s="389"/>
      <c r="M3" s="389"/>
      <c r="N3" s="390"/>
      <c r="O3" s="384" t="s">
        <v>56</v>
      </c>
      <c r="P3" s="385"/>
      <c r="Q3" s="385"/>
      <c r="R3" s="385"/>
      <c r="S3" s="385"/>
      <c r="T3" s="385"/>
      <c r="U3" s="385"/>
      <c r="V3" s="385"/>
      <c r="W3" s="385"/>
      <c r="X3" s="391"/>
      <c r="Y3" s="384" t="s">
        <v>57</v>
      </c>
      <c r="Z3" s="385"/>
      <c r="AA3" s="386"/>
      <c r="AB3" s="386"/>
      <c r="AC3" s="387"/>
      <c r="AD3" s="392" t="s">
        <v>58</v>
      </c>
      <c r="AE3" s="382" t="s">
        <v>59</v>
      </c>
      <c r="AF3" s="394" t="s">
        <v>60</v>
      </c>
      <c r="AG3" s="382" t="s">
        <v>61</v>
      </c>
      <c r="AH3" s="382" t="s">
        <v>62</v>
      </c>
      <c r="AI3" s="382" t="s">
        <v>63</v>
      </c>
      <c r="AJ3" s="380" t="s">
        <v>64</v>
      </c>
      <c r="AK3" s="396" t="s">
        <v>65</v>
      </c>
      <c r="AL3" s="397"/>
      <c r="AM3" s="397"/>
      <c r="AN3" s="397"/>
      <c r="AO3" s="397"/>
      <c r="AP3" s="397"/>
      <c r="AQ3" s="397"/>
      <c r="AR3" s="397"/>
      <c r="AS3" s="397"/>
      <c r="AT3" s="397"/>
      <c r="AU3" s="397"/>
      <c r="AV3" s="397"/>
      <c r="AW3" s="397"/>
      <c r="AX3" s="397"/>
      <c r="AY3" s="398"/>
      <c r="AZ3" s="360"/>
      <c r="BA3" s="399" t="s">
        <v>66</v>
      </c>
      <c r="BB3" s="397"/>
      <c r="BC3" s="397"/>
      <c r="BD3" s="397"/>
      <c r="BE3" s="397"/>
      <c r="BF3" s="397"/>
      <c r="BG3" s="397"/>
      <c r="BH3" s="397"/>
      <c r="BI3" s="397"/>
      <c r="BJ3" s="397"/>
      <c r="BK3" s="397"/>
      <c r="BL3" s="397"/>
      <c r="BM3" s="397"/>
      <c r="BN3" s="397"/>
      <c r="BO3" s="400"/>
    </row>
    <row r="4" spans="1:67" ht="190.5" customHeight="1" x14ac:dyDescent="0.4">
      <c r="A4" s="80" t="s">
        <v>67</v>
      </c>
      <c r="B4" s="85" t="s">
        <v>68</v>
      </c>
      <c r="C4" s="85"/>
      <c r="D4" s="82" t="s">
        <v>69</v>
      </c>
      <c r="E4" s="86" t="s">
        <v>7</v>
      </c>
      <c r="F4" s="87" t="s">
        <v>12</v>
      </c>
      <c r="G4" s="88" t="s">
        <v>8</v>
      </c>
      <c r="H4" s="88" t="s">
        <v>70</v>
      </c>
      <c r="I4" s="88" t="s">
        <v>15</v>
      </c>
      <c r="J4" s="89" t="s">
        <v>71</v>
      </c>
      <c r="K4" s="90" t="s">
        <v>20</v>
      </c>
      <c r="L4" s="91" t="s">
        <v>72</v>
      </c>
      <c r="M4" s="92" t="s">
        <v>16</v>
      </c>
      <c r="N4" s="93" t="s">
        <v>73</v>
      </c>
      <c r="O4" s="94" t="s">
        <v>74</v>
      </c>
      <c r="P4" s="92" t="s">
        <v>75</v>
      </c>
      <c r="Q4" s="92" t="s">
        <v>76</v>
      </c>
      <c r="R4" s="92" t="s">
        <v>77</v>
      </c>
      <c r="S4" s="92" t="s">
        <v>78</v>
      </c>
      <c r="T4" s="92" t="s">
        <v>79</v>
      </c>
      <c r="U4" s="92" t="s">
        <v>80</v>
      </c>
      <c r="V4" s="92" t="s">
        <v>15</v>
      </c>
      <c r="W4" s="95" t="s">
        <v>81</v>
      </c>
      <c r="X4" s="96" t="s">
        <v>12</v>
      </c>
      <c r="Y4" s="97" t="s">
        <v>82</v>
      </c>
      <c r="Z4" s="92" t="s">
        <v>83</v>
      </c>
      <c r="AA4" s="92" t="s">
        <v>84</v>
      </c>
      <c r="AB4" s="92" t="s">
        <v>85</v>
      </c>
      <c r="AC4" s="98" t="s">
        <v>86</v>
      </c>
      <c r="AD4" s="393"/>
      <c r="AE4" s="383"/>
      <c r="AF4" s="395"/>
      <c r="AG4" s="383"/>
      <c r="AH4" s="383"/>
      <c r="AI4" s="383"/>
      <c r="AJ4" s="381"/>
      <c r="AK4" s="97" t="s">
        <v>38</v>
      </c>
      <c r="AL4" s="92" t="s">
        <v>87</v>
      </c>
      <c r="AM4" s="92" t="s">
        <v>28</v>
      </c>
      <c r="AN4" s="92" t="s">
        <v>88</v>
      </c>
      <c r="AO4" s="92" t="s">
        <v>89</v>
      </c>
      <c r="AP4" s="92" t="s">
        <v>90</v>
      </c>
      <c r="AQ4" s="92" t="s">
        <v>32</v>
      </c>
      <c r="AR4" s="92" t="s">
        <v>26</v>
      </c>
      <c r="AS4" s="92" t="s">
        <v>27</v>
      </c>
      <c r="AT4" s="92" t="s">
        <v>91</v>
      </c>
      <c r="AU4" s="92" t="s">
        <v>37</v>
      </c>
      <c r="AV4" s="92" t="s">
        <v>36</v>
      </c>
      <c r="AW4" s="92" t="s">
        <v>92</v>
      </c>
      <c r="AX4" s="92" t="s">
        <v>93</v>
      </c>
      <c r="AY4" s="227" t="s">
        <v>39</v>
      </c>
      <c r="AZ4" s="212"/>
      <c r="BA4" s="99" t="s">
        <v>38</v>
      </c>
      <c r="BB4" s="92" t="s">
        <v>87</v>
      </c>
      <c r="BC4" s="92" t="s">
        <v>28</v>
      </c>
      <c r="BD4" s="92" t="s">
        <v>88</v>
      </c>
      <c r="BE4" s="92" t="s">
        <v>89</v>
      </c>
      <c r="BF4" s="92" t="s">
        <v>90</v>
      </c>
      <c r="BG4" s="92" t="s">
        <v>32</v>
      </c>
      <c r="BH4" s="92" t="s">
        <v>26</v>
      </c>
      <c r="BI4" s="92" t="s">
        <v>27</v>
      </c>
      <c r="BJ4" s="92" t="s">
        <v>91</v>
      </c>
      <c r="BK4" s="92" t="s">
        <v>37</v>
      </c>
      <c r="BL4" s="92" t="s">
        <v>36</v>
      </c>
      <c r="BM4" s="92" t="s">
        <v>92</v>
      </c>
      <c r="BN4" s="92" t="s">
        <v>93</v>
      </c>
      <c r="BO4" s="100" t="s">
        <v>39</v>
      </c>
    </row>
    <row r="5" spans="1:67" s="104" customFormat="1" ht="40.5" customHeight="1" x14ac:dyDescent="0.3">
      <c r="A5" s="101"/>
      <c r="B5" s="81"/>
      <c r="C5" s="81"/>
      <c r="D5" s="82"/>
      <c r="E5" s="83"/>
      <c r="F5" s="102" t="s">
        <v>13</v>
      </c>
      <c r="G5" s="363" t="s">
        <v>9</v>
      </c>
      <c r="H5" s="363" t="s">
        <v>94</v>
      </c>
      <c r="I5" s="363" t="s">
        <v>95</v>
      </c>
      <c r="J5" s="364" t="s">
        <v>96</v>
      </c>
      <c r="K5" s="411" t="s">
        <v>97</v>
      </c>
      <c r="L5" s="403"/>
      <c r="M5" s="403"/>
      <c r="N5" s="413"/>
      <c r="O5" s="411" t="s">
        <v>9</v>
      </c>
      <c r="P5" s="403"/>
      <c r="Q5" s="403"/>
      <c r="R5" s="403"/>
      <c r="S5" s="403"/>
      <c r="T5" s="403"/>
      <c r="U5" s="403"/>
      <c r="V5" s="363" t="s">
        <v>95</v>
      </c>
      <c r="W5" s="103" t="s">
        <v>98</v>
      </c>
      <c r="X5" s="364" t="s">
        <v>13</v>
      </c>
      <c r="Y5" s="411" t="s">
        <v>99</v>
      </c>
      <c r="Z5" s="403"/>
      <c r="AA5" s="403"/>
      <c r="AB5" s="403"/>
      <c r="AC5" s="412"/>
      <c r="AD5" s="406" t="s">
        <v>9</v>
      </c>
      <c r="AE5" s="403"/>
      <c r="AF5" s="403"/>
      <c r="AG5" s="403"/>
      <c r="AH5" s="403"/>
      <c r="AI5" s="403"/>
      <c r="AJ5" s="407"/>
      <c r="AK5" s="403" t="s">
        <v>100</v>
      </c>
      <c r="AL5" s="404"/>
      <c r="AM5" s="404"/>
      <c r="AN5" s="404"/>
      <c r="AO5" s="404"/>
      <c r="AP5" s="404"/>
      <c r="AQ5" s="404"/>
      <c r="AR5" s="404"/>
      <c r="AS5" s="404"/>
      <c r="AT5" s="404"/>
      <c r="AU5" s="404"/>
      <c r="AV5" s="404"/>
      <c r="AW5" s="404"/>
      <c r="AX5" s="404"/>
      <c r="AY5" s="404"/>
      <c r="AZ5" s="404"/>
      <c r="BA5" s="404"/>
      <c r="BB5" s="404"/>
      <c r="BC5" s="404"/>
      <c r="BD5" s="404"/>
      <c r="BE5" s="404"/>
      <c r="BF5" s="404"/>
      <c r="BG5" s="404"/>
      <c r="BH5" s="404"/>
      <c r="BI5" s="404"/>
      <c r="BJ5" s="404"/>
      <c r="BK5" s="404"/>
      <c r="BL5" s="404"/>
      <c r="BM5" s="404"/>
      <c r="BN5" s="404"/>
      <c r="BO5" s="405"/>
    </row>
    <row r="6" spans="1:67" s="225" customFormat="1" ht="40.5" hidden="1" customHeight="1" x14ac:dyDescent="0.3">
      <c r="A6" s="250"/>
      <c r="B6" s="251"/>
      <c r="C6" s="251"/>
      <c r="D6" s="252"/>
      <c r="E6" s="252"/>
      <c r="F6" s="253"/>
      <c r="G6" s="254"/>
      <c r="H6" s="254"/>
      <c r="I6" s="254"/>
      <c r="J6" s="254"/>
      <c r="K6" s="254"/>
      <c r="L6" s="254"/>
      <c r="M6" s="254"/>
      <c r="N6" s="254"/>
      <c r="O6" s="254"/>
      <c r="P6" s="254"/>
      <c r="Q6" s="254"/>
      <c r="R6" s="254"/>
      <c r="S6" s="254"/>
      <c r="T6" s="254"/>
      <c r="U6" s="254"/>
      <c r="V6" s="254"/>
      <c r="W6" s="255"/>
      <c r="X6" s="254"/>
      <c r="Y6" s="254"/>
      <c r="Z6" s="254"/>
      <c r="AA6" s="254"/>
      <c r="AB6" s="254"/>
      <c r="AC6" s="256"/>
      <c r="AD6" s="254"/>
      <c r="AE6" s="254"/>
      <c r="AF6" s="257"/>
      <c r="AG6" s="254"/>
      <c r="AH6" s="254"/>
      <c r="AI6" s="254"/>
      <c r="AJ6" s="254"/>
      <c r="AK6" s="254"/>
      <c r="AL6" s="256"/>
      <c r="AM6" s="256"/>
      <c r="AN6" s="256"/>
      <c r="AO6" s="256"/>
      <c r="AP6" s="256"/>
      <c r="AQ6" s="256"/>
      <c r="AR6" s="256"/>
      <c r="AS6" s="256"/>
      <c r="AT6" s="256"/>
      <c r="AU6" s="256"/>
      <c r="AV6" s="256"/>
      <c r="AW6" s="256"/>
      <c r="AX6" s="256"/>
      <c r="AY6" s="258"/>
      <c r="AZ6" s="256"/>
      <c r="BA6" s="256"/>
      <c r="BB6" s="256"/>
      <c r="BC6" s="256"/>
      <c r="BD6" s="256"/>
      <c r="BE6" s="256"/>
      <c r="BF6" s="256"/>
      <c r="BG6" s="256"/>
      <c r="BH6" s="256"/>
      <c r="BI6" s="256"/>
      <c r="BJ6" s="256"/>
      <c r="BK6" s="256"/>
      <c r="BL6" s="256"/>
      <c r="BM6" s="256"/>
      <c r="BN6" s="256"/>
      <c r="BO6" s="259"/>
    </row>
    <row r="7" spans="1:67" ht="27" customHeight="1" x14ac:dyDescent="0.4">
      <c r="A7" s="105" t="s">
        <v>101</v>
      </c>
      <c r="B7" s="106" t="str">
        <f t="shared" ref="B7:B39" si="0">VLOOKUP(A7, juris, 3, FALSE)</f>
        <v>Aliso Viejo</v>
      </c>
      <c r="C7" s="260">
        <v>1720002</v>
      </c>
      <c r="D7" s="107">
        <f t="shared" ref="D7:D29" si="1">VLOOKUP(C7,WaterQuality, 2, FALSE)</f>
        <v>44342.31527777778</v>
      </c>
      <c r="E7" s="107"/>
      <c r="F7" s="108">
        <f t="shared" ref="F7:F19" si="2">VLOOKUP($C7, WaterQuality, 119, FALSE)</f>
        <v>7.53</v>
      </c>
      <c r="G7" s="108">
        <f t="shared" ref="G7:G29" si="3">VLOOKUP($C7, WaterQuality, 115, FALSE)</f>
        <v>7.34</v>
      </c>
      <c r="H7" s="109">
        <f t="shared" ref="H7:H29" si="4">VLOOKUP($C7, WaterQuality, 117, FALSE)</f>
        <v>3281</v>
      </c>
      <c r="I7" s="110">
        <f t="shared" ref="I7:I29" si="5">VLOOKUP($C7, WaterQuality, 116, FALSE)</f>
        <v>7.9</v>
      </c>
      <c r="J7" s="110">
        <f t="shared" ref="J7:J29" si="6">VLOOKUP($C7, WaterQuality, 118, FALSE)</f>
        <v>19.059999999999999</v>
      </c>
      <c r="K7" s="109">
        <f t="shared" ref="K7:K29" si="7">VLOOKUP($C7, WaterQuality, 112, FALSE)</f>
        <v>5000</v>
      </c>
      <c r="L7" s="109">
        <f t="shared" ref="L7:L29" si="8">VLOOKUP($C7,WaterQuality, 111, FALSE)</f>
        <v>12800</v>
      </c>
      <c r="M7" s="109">
        <f t="shared" ref="M7:M29" si="9">VLOOKUP($C7,WaterQuality, 113, FALSE)</f>
        <v>6100</v>
      </c>
      <c r="N7" s="109" t="str">
        <f t="shared" ref="N7:N29" si="10">VLOOKUP($C7,WaterQuality, 114, FALSE)</f>
        <v>&gt;=84000</v>
      </c>
      <c r="O7" s="117">
        <f t="shared" ref="O7:O29" si="11">VLOOKUP($C7,WaterQuality, 97, FALSE)</f>
        <v>15</v>
      </c>
      <c r="P7" s="109">
        <f t="shared" ref="P7:P29" si="12">VLOOKUP($C7,WaterQuality, 99, FALSE)</f>
        <v>12</v>
      </c>
      <c r="Q7" s="111">
        <f t="shared" ref="Q7:Q29" si="13">VLOOKUP($C7,WaterQuality, 101, FALSE)</f>
        <v>0.75</v>
      </c>
      <c r="R7" s="109">
        <f t="shared" ref="R7:R29" si="14">VLOOKUP($C7,WaterQuality, 100, FALSE)</f>
        <v>21</v>
      </c>
      <c r="S7" s="108">
        <f t="shared" ref="S7:S29" si="15">VLOOKUP($C7,WaterQuality, 103, FALSE)</f>
        <v>3.8</v>
      </c>
      <c r="T7" s="108" t="str">
        <f t="shared" ref="T7:T29" si="16">VLOOKUP($C7,WaterQuality, 108, FALSE)</f>
        <v>&lt;5.9</v>
      </c>
      <c r="U7" s="108">
        <f t="shared" ref="U7:U29" si="17">VLOOKUP($C7,WaterQuality, 109, FALSE)</f>
        <v>7.5</v>
      </c>
      <c r="V7" s="110">
        <f t="shared" ref="V7:V29" si="18">VLOOKUP($C7,WaterQuality, 102, FALSE)</f>
        <v>7.62</v>
      </c>
      <c r="W7" s="109">
        <f t="shared" ref="W7:W29" si="19">VLOOKUP($C7,WaterQuality, 104, FALSE)</f>
        <v>2800</v>
      </c>
      <c r="X7" s="108">
        <f t="shared" ref="X7:X29" si="20">VLOOKUP($C7,WaterQuality, 110, FALSE)</f>
        <v>5.7</v>
      </c>
      <c r="Y7" s="108" t="str">
        <f t="shared" ref="Y7:Y29" si="21">VLOOKUP($C7,WaterQuality, 14, FALSE)</f>
        <v>&lt;2</v>
      </c>
      <c r="Z7" s="110" t="str">
        <f t="shared" ref="Z7:Z29" si="22">VLOOKUP($C7,WaterQuality, 17, FALSE)</f>
        <v>&lt;2</v>
      </c>
      <c r="AA7" s="110" t="str">
        <f t="shared" ref="AA7:AA29" si="23">VLOOKUP($C7,WaterQuality, 44, FALSE)</f>
        <v>&lt;2</v>
      </c>
      <c r="AB7" s="108" t="str">
        <f t="shared" ref="AB7:AB29" si="24">VLOOKUP($C7,WaterQuality, 40, FALSE)</f>
        <v>&lt;1</v>
      </c>
      <c r="AC7" s="108" t="str">
        <f t="shared" ref="AC7:AC29" si="25">VLOOKUP($C7,WaterQuality, 26, FALSE)</f>
        <v>&lt;5</v>
      </c>
      <c r="AD7" s="106">
        <f t="shared" ref="AD7:AD29" si="26">VLOOKUP($C7,WaterQuality, 98, FALSE)</f>
        <v>310</v>
      </c>
      <c r="AE7" s="106">
        <f t="shared" ref="AE7:AE29" si="27">VLOOKUP($C7,WaterQuality, 83, FALSE)</f>
        <v>20</v>
      </c>
      <c r="AF7" s="109">
        <f t="shared" ref="AF7:AF29" si="28">VLOOKUP($C7,WaterQuality, 84, FALSE)</f>
        <v>528</v>
      </c>
      <c r="AG7" s="106">
        <f t="shared" ref="AG7:AG29" si="29">VLOOKUP($C7,WaterQuality, 89, FALSE)</f>
        <v>0.11</v>
      </c>
      <c r="AH7" s="109">
        <f t="shared" ref="AH7:AH29" si="30">VLOOKUP($C7,WaterQuality, 105, FALSE)</f>
        <v>440</v>
      </c>
      <c r="AI7" s="109">
        <f t="shared" ref="AI7:AI29" si="31">VLOOKUP($C7,WaterQuality, 107, FALSE)</f>
        <v>1400</v>
      </c>
      <c r="AJ7" s="106">
        <f t="shared" ref="AJ7:AJ29" si="32">VLOOKUP($C7,WaterQuality, 95, FALSE)</f>
        <v>20</v>
      </c>
      <c r="AK7" s="106" t="str">
        <f t="shared" ref="AK7:AK29" si="33">VLOOKUP($C7,WaterQuality, 93, FALSE)</f>
        <v>&lt;0.2</v>
      </c>
      <c r="AL7" s="106">
        <f t="shared" ref="AL7:AL29" si="34">VLOOKUP($C7,WaterQuality, 77, FALSE)</f>
        <v>4.9000000000000004</v>
      </c>
      <c r="AM7" s="106">
        <f t="shared" ref="AM7:AM29" si="35">VLOOKUP($C7,WaterQuality, 78, FALSE)</f>
        <v>1.9</v>
      </c>
      <c r="AN7" s="111">
        <f t="shared" ref="AN7:AN29" si="36">VLOOKUP($C7,WaterQuality, 81, FALSE)</f>
        <v>0.56999999999999995</v>
      </c>
      <c r="AO7" s="106" t="str">
        <f t="shared" ref="AO7:AO29" si="37">VLOOKUP($C7,WaterQuality, 80, FALSE)</f>
        <v>&lt;0.02</v>
      </c>
      <c r="AP7" s="111" t="s">
        <v>102</v>
      </c>
      <c r="AQ7" s="106">
        <f t="shared" ref="AQ7:AQ29" si="38">VLOOKUP($C7,WaterQuality, 82, FALSE)</f>
        <v>9.1999999999999993</v>
      </c>
      <c r="AR7" s="109">
        <f t="shared" ref="AR7:AR29" si="39">VLOOKUP($C7,WaterQuality, 85, FALSE)</f>
        <v>240</v>
      </c>
      <c r="AS7" s="109">
        <f t="shared" ref="AS7:AS29" si="40">VLOOKUP($C7,WaterQuality, 88, FALSE)</f>
        <v>11</v>
      </c>
      <c r="AT7" s="109" t="str">
        <f t="shared" ref="AT7:AT29" si="41">VLOOKUP($C7,WaterQuality, 90, FALSE)</f>
        <v>&lt;0.05</v>
      </c>
      <c r="AU7" s="109">
        <f t="shared" ref="AU7:AU29" si="42">VLOOKUP($C7,WaterQuality, 91, FALSE)</f>
        <v>17</v>
      </c>
      <c r="AV7" s="110" t="str">
        <f t="shared" ref="AV7:AV29" si="43">VLOOKUP($C7,WaterQuality, 86, FALSE)</f>
        <v>&lt;0.2</v>
      </c>
      <c r="AW7" s="108">
        <f t="shared" ref="AW7:AW29" si="44">VLOOKUP($C7,WaterQuality, 92, FALSE)</f>
        <v>6.2</v>
      </c>
      <c r="AX7" s="108" t="str">
        <f t="shared" ref="AX7:AX29" si="45">VLOOKUP($C7,WaterQuality, 94, FALSE)</f>
        <v>&lt;0.2</v>
      </c>
      <c r="AY7" s="231">
        <f t="shared" ref="AY7:AY29" si="46">VLOOKUP($C7,WaterQuality, 96, FALSE)</f>
        <v>43</v>
      </c>
      <c r="AZ7" s="108">
        <v>1720006</v>
      </c>
      <c r="BA7" s="106" t="str">
        <f t="shared" ref="BA7:BA29" si="47">VLOOKUP($AZ7,WaterQuality, 93, FALSE)</f>
        <v>&lt;0.2</v>
      </c>
      <c r="BB7" s="106">
        <f t="shared" ref="BB7:BB29" si="48">VLOOKUP($AZ7,WaterQuality, 77, FALSE)</f>
        <v>4.9000000000000004</v>
      </c>
      <c r="BC7" s="106">
        <f t="shared" ref="BC7:BC29" si="49">VLOOKUP($AZ7,WaterQuality, 78, FALSE)</f>
        <v>2.1</v>
      </c>
      <c r="BD7" s="111">
        <f t="shared" ref="BD7:BD29" si="50">VLOOKUP($AZ7,WaterQuality, 81, FALSE)</f>
        <v>0.35</v>
      </c>
      <c r="BE7" s="106" t="str">
        <f t="shared" ref="BE7:BE29" si="51">VLOOKUP($AZ7,WaterQuality, 80, FALSE)</f>
        <v>&lt;0.02</v>
      </c>
      <c r="BF7" s="106" t="s">
        <v>103</v>
      </c>
      <c r="BG7" s="106">
        <f t="shared" ref="BG7:BG29" si="52">VLOOKUP($AZ7,WaterQuality, 82, FALSE)</f>
        <v>9.8000000000000007</v>
      </c>
      <c r="BH7" s="109">
        <f t="shared" ref="BH7:BH29" si="53">VLOOKUP($AZ7,WaterQuality, 85, FALSE)</f>
        <v>74</v>
      </c>
      <c r="BI7" s="108">
        <f t="shared" ref="BI7:BI29" si="54">VLOOKUP($AZ7,WaterQuality, 88, FALSE)</f>
        <v>8.3000000000000007</v>
      </c>
      <c r="BJ7" s="109" t="str">
        <f t="shared" ref="BJ7:BJ29" si="55">VLOOKUP($AZ7,WaterQuality, 90, FALSE)</f>
        <v>&lt;0.05</v>
      </c>
      <c r="BK7" s="231">
        <f t="shared" ref="BK7:BK29" si="56">VLOOKUP($AZ7,WaterQuality, 91, FALSE)</f>
        <v>16</v>
      </c>
      <c r="BL7" s="110" t="str">
        <f t="shared" ref="BL7:BL29" si="57">VLOOKUP($AZ7,WaterQuality, 86, FALSE)</f>
        <v>&lt;0.2</v>
      </c>
      <c r="BM7" s="108">
        <f t="shared" ref="BM7:BM29" si="58">VLOOKUP($AZ7,WaterQuality, 92, FALSE)</f>
        <v>6.2</v>
      </c>
      <c r="BN7" s="110" t="str">
        <f t="shared" ref="BN7:BN29" si="59">VLOOKUP($AZ7,WaterQuality, 94, FALSE)</f>
        <v>&lt;0.2</v>
      </c>
      <c r="BO7" s="113">
        <f t="shared" ref="BO7:BO29" si="60">VLOOKUP($AZ7,WaterQuality, 96, FALSE)</f>
        <v>41</v>
      </c>
    </row>
    <row r="8" spans="1:67" ht="27" customHeight="1" x14ac:dyDescent="0.4">
      <c r="A8" s="105" t="s">
        <v>104</v>
      </c>
      <c r="B8" s="106" t="str">
        <f t="shared" si="0"/>
        <v>Aliso Viejo</v>
      </c>
      <c r="C8" s="260">
        <v>1719002</v>
      </c>
      <c r="D8" s="107">
        <f t="shared" si="1"/>
        <v>44342.327777777777</v>
      </c>
      <c r="E8" s="107"/>
      <c r="F8" s="108">
        <f t="shared" si="2"/>
        <v>2.1800000000000002</v>
      </c>
      <c r="G8" s="108">
        <f t="shared" si="3"/>
        <v>9.59</v>
      </c>
      <c r="H8" s="109">
        <f t="shared" si="4"/>
        <v>2289</v>
      </c>
      <c r="I8" s="110">
        <f t="shared" si="5"/>
        <v>7.92</v>
      </c>
      <c r="J8" s="110">
        <f t="shared" si="6"/>
        <v>16.739999999999998</v>
      </c>
      <c r="K8" s="109">
        <f t="shared" si="7"/>
        <v>1220</v>
      </c>
      <c r="L8" s="109">
        <f t="shared" si="8"/>
        <v>1700</v>
      </c>
      <c r="M8" s="109">
        <f t="shared" si="9"/>
        <v>1340</v>
      </c>
      <c r="N8" s="109" t="str">
        <f t="shared" si="10"/>
        <v>&gt;=6100</v>
      </c>
      <c r="O8" s="110">
        <f t="shared" si="11"/>
        <v>0.36</v>
      </c>
      <c r="P8" s="108">
        <f t="shared" si="12"/>
        <v>2.8</v>
      </c>
      <c r="Q8" s="111">
        <f t="shared" si="13"/>
        <v>0.22</v>
      </c>
      <c r="R8" s="108">
        <f t="shared" si="14"/>
        <v>1.2</v>
      </c>
      <c r="S8" s="108">
        <f t="shared" si="15"/>
        <v>0.95</v>
      </c>
      <c r="T8" s="108" t="str">
        <f t="shared" si="16"/>
        <v>&lt;6.3</v>
      </c>
      <c r="U8" s="108">
        <f t="shared" si="17"/>
        <v>6.1</v>
      </c>
      <c r="V8" s="110">
        <f t="shared" si="18"/>
        <v>8.2200000000000006</v>
      </c>
      <c r="W8" s="109">
        <f t="shared" si="19"/>
        <v>2800</v>
      </c>
      <c r="X8" s="108">
        <f t="shared" si="20"/>
        <v>1.3</v>
      </c>
      <c r="Y8" s="108" t="str">
        <f t="shared" si="21"/>
        <v>&lt;2</v>
      </c>
      <c r="Z8" s="110" t="str">
        <f t="shared" si="22"/>
        <v>&lt;2</v>
      </c>
      <c r="AA8" s="110" t="str">
        <f t="shared" si="23"/>
        <v>&lt;2</v>
      </c>
      <c r="AB8" s="108" t="str">
        <f t="shared" si="24"/>
        <v>&lt;1</v>
      </c>
      <c r="AC8" s="108" t="str">
        <f t="shared" si="25"/>
        <v>&lt;5</v>
      </c>
      <c r="AD8" s="106">
        <f t="shared" si="26"/>
        <v>410</v>
      </c>
      <c r="AE8" s="106">
        <f t="shared" si="27"/>
        <v>8.4</v>
      </c>
      <c r="AF8" s="109">
        <f t="shared" si="28"/>
        <v>576</v>
      </c>
      <c r="AG8" s="106">
        <f t="shared" si="29"/>
        <v>7.0000000000000007E-2</v>
      </c>
      <c r="AH8" s="109">
        <f t="shared" si="30"/>
        <v>380</v>
      </c>
      <c r="AI8" s="109">
        <f t="shared" si="31"/>
        <v>1400</v>
      </c>
      <c r="AJ8" s="106">
        <f t="shared" si="32"/>
        <v>8.6</v>
      </c>
      <c r="AK8" s="106" t="str">
        <f t="shared" si="33"/>
        <v>&lt;0.2</v>
      </c>
      <c r="AL8" s="106">
        <f t="shared" si="34"/>
        <v>5.9</v>
      </c>
      <c r="AM8" s="106" t="str">
        <f t="shared" si="35"/>
        <v>&lt;0.2</v>
      </c>
      <c r="AN8" s="111">
        <f t="shared" si="36"/>
        <v>0.6</v>
      </c>
      <c r="AO8" s="106">
        <f t="shared" si="37"/>
        <v>0.25</v>
      </c>
      <c r="AP8" s="111">
        <f t="shared" ref="AP8:AP16" si="61">AN8-AO8</f>
        <v>0.35</v>
      </c>
      <c r="AQ8" s="106">
        <f t="shared" si="38"/>
        <v>4.0999999999999996</v>
      </c>
      <c r="AR8" s="109">
        <f t="shared" si="39"/>
        <v>130</v>
      </c>
      <c r="AS8" s="109">
        <f t="shared" si="40"/>
        <v>19</v>
      </c>
      <c r="AT8" s="109" t="str">
        <f t="shared" si="41"/>
        <v>&lt;0.05</v>
      </c>
      <c r="AU8" s="108">
        <f t="shared" si="42"/>
        <v>3.5</v>
      </c>
      <c r="AV8" s="110" t="str">
        <f t="shared" si="43"/>
        <v>&lt;0.2</v>
      </c>
      <c r="AW8" s="108">
        <f t="shared" si="44"/>
        <v>4.5999999999999996</v>
      </c>
      <c r="AX8" s="108" t="str">
        <f t="shared" si="45"/>
        <v>&lt;0.2</v>
      </c>
      <c r="AY8" s="231">
        <f t="shared" si="46"/>
        <v>11</v>
      </c>
      <c r="AZ8" s="108">
        <v>1719005</v>
      </c>
      <c r="BA8" s="106" t="str">
        <f t="shared" si="47"/>
        <v>&lt;0.2</v>
      </c>
      <c r="BB8" s="106">
        <f t="shared" si="48"/>
        <v>5.8</v>
      </c>
      <c r="BC8" s="106" t="str">
        <f t="shared" si="49"/>
        <v>&lt;0.2</v>
      </c>
      <c r="BD8" s="111">
        <f t="shared" si="50"/>
        <v>0.41</v>
      </c>
      <c r="BE8" s="106">
        <f t="shared" si="51"/>
        <v>0.22</v>
      </c>
      <c r="BF8" s="106">
        <f t="shared" ref="BF8:BF15" si="62">BD8-BE8</f>
        <v>0.18999999999999997</v>
      </c>
      <c r="BG8" s="106">
        <f t="shared" si="52"/>
        <v>3.2</v>
      </c>
      <c r="BH8" s="109">
        <f t="shared" si="53"/>
        <v>55</v>
      </c>
      <c r="BI8" s="109">
        <f t="shared" si="54"/>
        <v>15</v>
      </c>
      <c r="BJ8" s="109" t="str">
        <f t="shared" si="55"/>
        <v>&lt;0.05</v>
      </c>
      <c r="BK8" s="112">
        <f t="shared" si="56"/>
        <v>3.2</v>
      </c>
      <c r="BL8" s="110" t="str">
        <f t="shared" si="57"/>
        <v>&lt;0.2</v>
      </c>
      <c r="BM8" s="108">
        <f t="shared" si="58"/>
        <v>4.5999999999999996</v>
      </c>
      <c r="BN8" s="110" t="str">
        <f t="shared" si="59"/>
        <v>&lt;0.2</v>
      </c>
      <c r="BO8" s="113" t="str">
        <f t="shared" si="60"/>
        <v>&lt;10</v>
      </c>
    </row>
    <row r="9" spans="1:67" ht="27" customHeight="1" x14ac:dyDescent="0.4">
      <c r="A9" s="105" t="s">
        <v>105</v>
      </c>
      <c r="B9" s="106" t="str">
        <f t="shared" si="0"/>
        <v>Aliso Viejo</v>
      </c>
      <c r="C9" s="260">
        <v>1720001</v>
      </c>
      <c r="D9" s="107">
        <f t="shared" si="1"/>
        <v>44342.338194444441</v>
      </c>
      <c r="E9" s="107"/>
      <c r="F9" s="108">
        <f t="shared" si="2"/>
        <v>3.79</v>
      </c>
      <c r="G9" s="108">
        <f t="shared" si="3"/>
        <v>6.99</v>
      </c>
      <c r="H9" s="109">
        <f t="shared" si="4"/>
        <v>4082</v>
      </c>
      <c r="I9" s="110">
        <f t="shared" si="5"/>
        <v>7.54</v>
      </c>
      <c r="J9" s="110">
        <f t="shared" si="6"/>
        <v>19.100000000000001</v>
      </c>
      <c r="K9" s="109">
        <f t="shared" si="7"/>
        <v>10900</v>
      </c>
      <c r="L9" s="109">
        <f t="shared" si="8"/>
        <v>14200</v>
      </c>
      <c r="M9" s="109">
        <f t="shared" si="9"/>
        <v>20000</v>
      </c>
      <c r="N9" s="109" t="str">
        <f t="shared" si="10"/>
        <v>&gt;=78000</v>
      </c>
      <c r="O9" s="108">
        <f t="shared" si="11"/>
        <v>4.8</v>
      </c>
      <c r="P9" s="109">
        <f t="shared" si="12"/>
        <v>12</v>
      </c>
      <c r="Q9" s="111">
        <f t="shared" si="13"/>
        <v>0.36</v>
      </c>
      <c r="R9" s="108">
        <f t="shared" si="14"/>
        <v>6</v>
      </c>
      <c r="S9" s="108">
        <f t="shared" si="15"/>
        <v>1.6</v>
      </c>
      <c r="T9" s="108">
        <f t="shared" si="16"/>
        <v>7.6</v>
      </c>
      <c r="U9" s="109">
        <f t="shared" si="17"/>
        <v>11</v>
      </c>
      <c r="V9" s="110">
        <f t="shared" si="18"/>
        <v>7.55</v>
      </c>
      <c r="W9" s="109">
        <f t="shared" si="19"/>
        <v>3400</v>
      </c>
      <c r="X9" s="108">
        <f t="shared" si="20"/>
        <v>7.9</v>
      </c>
      <c r="Y9" s="108" t="str">
        <f t="shared" si="21"/>
        <v>&lt;2</v>
      </c>
      <c r="Z9" s="110" t="str">
        <f t="shared" si="22"/>
        <v>&lt;2</v>
      </c>
      <c r="AA9" s="110" t="str">
        <f t="shared" si="23"/>
        <v>&lt;2</v>
      </c>
      <c r="AB9" s="108" t="str">
        <f t="shared" si="24"/>
        <v>&lt;1</v>
      </c>
      <c r="AC9" s="108" t="str">
        <f t="shared" si="25"/>
        <v>&lt;5</v>
      </c>
      <c r="AD9" s="106">
        <f t="shared" si="26"/>
        <v>440</v>
      </c>
      <c r="AE9" s="106">
        <f t="shared" si="27"/>
        <v>11</v>
      </c>
      <c r="AF9" s="109">
        <f t="shared" si="28"/>
        <v>844</v>
      </c>
      <c r="AG9" s="106">
        <f t="shared" si="29"/>
        <v>7.3999999999999996E-2</v>
      </c>
      <c r="AH9" s="109">
        <f t="shared" si="30"/>
        <v>630</v>
      </c>
      <c r="AI9" s="109">
        <f t="shared" si="31"/>
        <v>1900</v>
      </c>
      <c r="AJ9" s="106">
        <f t="shared" si="32"/>
        <v>11</v>
      </c>
      <c r="AK9" s="106" t="str">
        <f t="shared" si="33"/>
        <v>&lt;0.2</v>
      </c>
      <c r="AL9" s="106">
        <f t="shared" si="34"/>
        <v>13</v>
      </c>
      <c r="AM9" s="106">
        <f t="shared" si="35"/>
        <v>2.6</v>
      </c>
      <c r="AN9" s="112">
        <f t="shared" si="36"/>
        <v>1.3</v>
      </c>
      <c r="AO9" s="106">
        <f t="shared" si="37"/>
        <v>0.73</v>
      </c>
      <c r="AP9" s="111">
        <f t="shared" si="61"/>
        <v>0.57000000000000006</v>
      </c>
      <c r="AQ9" s="106">
        <f t="shared" si="38"/>
        <v>6.4</v>
      </c>
      <c r="AR9" s="109">
        <f t="shared" si="39"/>
        <v>180</v>
      </c>
      <c r="AS9" s="109">
        <f t="shared" si="40"/>
        <v>20</v>
      </c>
      <c r="AT9" s="109" t="str">
        <f t="shared" si="41"/>
        <v>&lt;0.05</v>
      </c>
      <c r="AU9" s="109">
        <f t="shared" si="42"/>
        <v>11</v>
      </c>
      <c r="AV9" s="110" t="str">
        <f t="shared" si="43"/>
        <v>&lt;0.2</v>
      </c>
      <c r="AW9" s="109">
        <f t="shared" si="44"/>
        <v>37</v>
      </c>
      <c r="AX9" s="108" t="str">
        <f t="shared" si="45"/>
        <v>&lt;0.2</v>
      </c>
      <c r="AY9" s="231">
        <f t="shared" si="46"/>
        <v>37</v>
      </c>
      <c r="AZ9" s="108">
        <v>1720005</v>
      </c>
      <c r="BA9" s="106" t="str">
        <f t="shared" si="47"/>
        <v>&lt;0.2</v>
      </c>
      <c r="BB9" s="106">
        <f t="shared" si="48"/>
        <v>12</v>
      </c>
      <c r="BC9" s="106">
        <f t="shared" si="49"/>
        <v>1.2</v>
      </c>
      <c r="BD9" s="111">
        <f t="shared" si="50"/>
        <v>1.1000000000000001</v>
      </c>
      <c r="BE9" s="106">
        <f t="shared" si="51"/>
        <v>0.73</v>
      </c>
      <c r="BF9" s="106">
        <f t="shared" si="62"/>
        <v>0.37000000000000011</v>
      </c>
      <c r="BG9" s="106">
        <f t="shared" si="52"/>
        <v>3.5</v>
      </c>
      <c r="BH9" s="109">
        <f t="shared" si="53"/>
        <v>30</v>
      </c>
      <c r="BI9" s="109">
        <f t="shared" si="54"/>
        <v>18</v>
      </c>
      <c r="BJ9" s="109" t="str">
        <f t="shared" si="55"/>
        <v>&lt;0.05</v>
      </c>
      <c r="BK9" s="231">
        <f t="shared" si="56"/>
        <v>11</v>
      </c>
      <c r="BL9" s="110" t="str">
        <f t="shared" si="57"/>
        <v>&lt;0.2</v>
      </c>
      <c r="BM9" s="109">
        <f t="shared" si="58"/>
        <v>38</v>
      </c>
      <c r="BN9" s="110" t="str">
        <f t="shared" si="59"/>
        <v>&lt;0.2</v>
      </c>
      <c r="BO9" s="113">
        <f t="shared" si="60"/>
        <v>26</v>
      </c>
    </row>
    <row r="10" spans="1:67" ht="27" customHeight="1" x14ac:dyDescent="0.4">
      <c r="A10" s="105" t="s">
        <v>106</v>
      </c>
      <c r="B10" s="115" t="str">
        <f t="shared" si="0"/>
        <v>Aliso Viejo</v>
      </c>
      <c r="C10" s="260">
        <v>1719003</v>
      </c>
      <c r="D10" s="107">
        <f t="shared" si="1"/>
        <v>44342.365277777775</v>
      </c>
      <c r="E10" s="107"/>
      <c r="F10" s="108">
        <f t="shared" si="2"/>
        <v>3.79</v>
      </c>
      <c r="G10" s="108">
        <f t="shared" si="3"/>
        <v>8.74</v>
      </c>
      <c r="H10" s="109">
        <f t="shared" si="4"/>
        <v>3175</v>
      </c>
      <c r="I10" s="110">
        <f t="shared" si="5"/>
        <v>7.94</v>
      </c>
      <c r="J10" s="110">
        <f t="shared" si="6"/>
        <v>18.02</v>
      </c>
      <c r="K10" s="109">
        <f t="shared" si="7"/>
        <v>20</v>
      </c>
      <c r="L10" s="109">
        <f t="shared" si="8"/>
        <v>80</v>
      </c>
      <c r="M10" s="109">
        <f t="shared" si="9"/>
        <v>20</v>
      </c>
      <c r="N10" s="109" t="str">
        <f t="shared" si="10"/>
        <v>&gt;=620</v>
      </c>
      <c r="O10" s="110" t="str">
        <f t="shared" si="11"/>
        <v>&lt;0.1</v>
      </c>
      <c r="P10" s="108">
        <f t="shared" si="12"/>
        <v>1.7</v>
      </c>
      <c r="Q10" s="111">
        <f t="shared" si="13"/>
        <v>4.1000000000000002E-2</v>
      </c>
      <c r="R10" s="110">
        <f t="shared" si="14"/>
        <v>0.48</v>
      </c>
      <c r="S10" s="108" t="str">
        <f t="shared" si="15"/>
        <v>&lt;0.06</v>
      </c>
      <c r="T10" s="108" t="str">
        <f t="shared" si="16"/>
        <v>&lt;5.6</v>
      </c>
      <c r="U10" s="108">
        <f t="shared" si="17"/>
        <v>3.1</v>
      </c>
      <c r="V10" s="110">
        <f t="shared" si="18"/>
        <v>7.93</v>
      </c>
      <c r="W10" s="109">
        <f t="shared" si="19"/>
        <v>3500</v>
      </c>
      <c r="X10" s="110">
        <f t="shared" si="20"/>
        <v>0.19</v>
      </c>
      <c r="Y10" s="108" t="str">
        <f t="shared" si="21"/>
        <v>&lt;2</v>
      </c>
      <c r="Z10" s="110" t="str">
        <f t="shared" si="22"/>
        <v>&lt;2</v>
      </c>
      <c r="AA10" s="110" t="str">
        <f t="shared" si="23"/>
        <v>&lt;2</v>
      </c>
      <c r="AB10" s="108" t="str">
        <f t="shared" si="24"/>
        <v>&lt;1</v>
      </c>
      <c r="AC10" s="108" t="str">
        <f t="shared" si="25"/>
        <v>&lt;5</v>
      </c>
      <c r="AD10" s="106">
        <f t="shared" si="26"/>
        <v>400</v>
      </c>
      <c r="AE10" s="106">
        <f t="shared" si="27"/>
        <v>1</v>
      </c>
      <c r="AF10" s="109">
        <f t="shared" si="28"/>
        <v>1050</v>
      </c>
      <c r="AG10" s="106" t="str">
        <f t="shared" si="29"/>
        <v>&lt;0.05</v>
      </c>
      <c r="AH10" s="109">
        <f t="shared" si="30"/>
        <v>860</v>
      </c>
      <c r="AI10" s="109">
        <f t="shared" si="31"/>
        <v>2300</v>
      </c>
      <c r="AJ10" s="106">
        <f t="shared" si="32"/>
        <v>1.2</v>
      </c>
      <c r="AK10" s="106" t="str">
        <f t="shared" si="33"/>
        <v>&lt;0.2</v>
      </c>
      <c r="AL10" s="106">
        <f t="shared" si="34"/>
        <v>5.9</v>
      </c>
      <c r="AM10" s="106">
        <f t="shared" si="35"/>
        <v>0.39</v>
      </c>
      <c r="AN10" s="111">
        <f t="shared" si="36"/>
        <v>0.37</v>
      </c>
      <c r="AO10" s="106">
        <f t="shared" si="37"/>
        <v>0.27</v>
      </c>
      <c r="AP10" s="111">
        <f t="shared" si="61"/>
        <v>9.9999999999999978E-2</v>
      </c>
      <c r="AQ10" s="106">
        <f t="shared" si="38"/>
        <v>3.9</v>
      </c>
      <c r="AR10" s="109">
        <f t="shared" si="39"/>
        <v>23</v>
      </c>
      <c r="AS10" s="109">
        <f t="shared" si="40"/>
        <v>320</v>
      </c>
      <c r="AT10" s="109" t="str">
        <f t="shared" si="41"/>
        <v>&lt;0.05</v>
      </c>
      <c r="AU10" s="108">
        <f t="shared" si="42"/>
        <v>3.9</v>
      </c>
      <c r="AV10" s="110" t="str">
        <f t="shared" si="43"/>
        <v>&lt;0.2</v>
      </c>
      <c r="AW10" s="108">
        <f t="shared" si="44"/>
        <v>7.9</v>
      </c>
      <c r="AX10" s="108" t="str">
        <f t="shared" si="45"/>
        <v>&lt;0.2</v>
      </c>
      <c r="AY10" s="111" t="str">
        <f t="shared" si="46"/>
        <v>&lt;10</v>
      </c>
      <c r="AZ10" s="109">
        <v>1719006</v>
      </c>
      <c r="BA10" s="106" t="str">
        <f t="shared" si="47"/>
        <v>&lt;0.2</v>
      </c>
      <c r="BB10" s="106">
        <f t="shared" si="48"/>
        <v>5.8</v>
      </c>
      <c r="BC10" s="106" t="str">
        <f t="shared" si="49"/>
        <v>&lt;0.2</v>
      </c>
      <c r="BD10" s="111">
        <f t="shared" si="50"/>
        <v>0.36</v>
      </c>
      <c r="BE10" s="106">
        <f t="shared" si="51"/>
        <v>0.32</v>
      </c>
      <c r="BF10" s="106">
        <f t="shared" si="62"/>
        <v>3.999999999999998E-2</v>
      </c>
      <c r="BG10" s="106">
        <f t="shared" si="52"/>
        <v>2.6</v>
      </c>
      <c r="BH10" s="109" t="str">
        <f t="shared" si="53"/>
        <v>&lt;20</v>
      </c>
      <c r="BI10" s="109">
        <f t="shared" si="54"/>
        <v>230</v>
      </c>
      <c r="BJ10" s="109" t="str">
        <f t="shared" si="55"/>
        <v>&lt;0.05</v>
      </c>
      <c r="BK10" s="112">
        <f t="shared" si="56"/>
        <v>3.9</v>
      </c>
      <c r="BL10" s="110" t="str">
        <f t="shared" si="57"/>
        <v>&lt;0.2</v>
      </c>
      <c r="BM10" s="108">
        <f t="shared" si="58"/>
        <v>8.1</v>
      </c>
      <c r="BN10" s="110" t="str">
        <f t="shared" si="59"/>
        <v>&lt;0.2</v>
      </c>
      <c r="BO10" s="113" t="str">
        <f t="shared" si="60"/>
        <v>&lt;10</v>
      </c>
    </row>
    <row r="11" spans="1:67" ht="27" customHeight="1" x14ac:dyDescent="0.4">
      <c r="A11" s="105" t="s">
        <v>107</v>
      </c>
      <c r="B11" s="115" t="str">
        <f t="shared" si="0"/>
        <v>Aliso Viejo</v>
      </c>
      <c r="C11" s="260">
        <v>1719001</v>
      </c>
      <c r="D11" s="107">
        <f t="shared" si="1"/>
        <v>44342.386111111111</v>
      </c>
      <c r="E11" s="118"/>
      <c r="F11" s="110">
        <f t="shared" si="2"/>
        <v>0.16</v>
      </c>
      <c r="G11" s="108">
        <f t="shared" si="3"/>
        <v>6.76</v>
      </c>
      <c r="H11" s="109">
        <f t="shared" si="4"/>
        <v>2724</v>
      </c>
      <c r="I11" s="110">
        <f t="shared" si="5"/>
        <v>7.75</v>
      </c>
      <c r="J11" s="110">
        <f t="shared" si="6"/>
        <v>17.72</v>
      </c>
      <c r="K11" s="109">
        <f t="shared" si="7"/>
        <v>240</v>
      </c>
      <c r="L11" s="109">
        <f t="shared" si="8"/>
        <v>1120</v>
      </c>
      <c r="M11" s="109">
        <f t="shared" si="9"/>
        <v>310</v>
      </c>
      <c r="N11" s="109" t="str">
        <f t="shared" si="10"/>
        <v>&gt;=10400</v>
      </c>
      <c r="O11" s="110">
        <f t="shared" si="11"/>
        <v>0.21</v>
      </c>
      <c r="P11" s="108">
        <f t="shared" si="12"/>
        <v>2.1</v>
      </c>
      <c r="Q11" s="111">
        <f t="shared" si="13"/>
        <v>0.09</v>
      </c>
      <c r="R11" s="110">
        <f t="shared" si="14"/>
        <v>0.64</v>
      </c>
      <c r="S11" s="110">
        <f t="shared" si="15"/>
        <v>0.47</v>
      </c>
      <c r="T11" s="108" t="str">
        <f t="shared" si="16"/>
        <v>&lt;5.6</v>
      </c>
      <c r="U11" s="108">
        <f t="shared" si="17"/>
        <v>6.9</v>
      </c>
      <c r="V11" s="110">
        <f t="shared" si="18"/>
        <v>8.06</v>
      </c>
      <c r="W11" s="109">
        <f t="shared" si="19"/>
        <v>3200</v>
      </c>
      <c r="X11" s="108">
        <f t="shared" si="20"/>
        <v>1.4</v>
      </c>
      <c r="Y11" s="108" t="str">
        <f t="shared" si="21"/>
        <v>&lt;2</v>
      </c>
      <c r="Z11" s="110" t="str">
        <f t="shared" si="22"/>
        <v>&lt;2</v>
      </c>
      <c r="AA11" s="110" t="str">
        <f t="shared" si="23"/>
        <v>&lt;2</v>
      </c>
      <c r="AB11" s="108" t="str">
        <f t="shared" si="24"/>
        <v>&lt;1</v>
      </c>
      <c r="AC11" s="108" t="str">
        <f t="shared" si="25"/>
        <v>&lt;5</v>
      </c>
      <c r="AD11" s="106">
        <f t="shared" si="26"/>
        <v>350</v>
      </c>
      <c r="AE11" s="106">
        <f t="shared" si="27"/>
        <v>2.2999999999999998</v>
      </c>
      <c r="AF11" s="109">
        <f t="shared" si="28"/>
        <v>851</v>
      </c>
      <c r="AG11" s="106" t="str">
        <f t="shared" si="29"/>
        <v>&lt;0.05</v>
      </c>
      <c r="AH11" s="109">
        <f t="shared" si="30"/>
        <v>660</v>
      </c>
      <c r="AI11" s="109">
        <f t="shared" si="31"/>
        <v>1900</v>
      </c>
      <c r="AJ11" s="106">
        <f t="shared" si="32"/>
        <v>3.8</v>
      </c>
      <c r="AK11" s="106" t="str">
        <f t="shared" si="33"/>
        <v>&lt;0.2</v>
      </c>
      <c r="AL11" s="112">
        <f t="shared" si="34"/>
        <v>6</v>
      </c>
      <c r="AM11" s="106">
        <f t="shared" si="35"/>
        <v>0.28000000000000003</v>
      </c>
      <c r="AN11" s="111">
        <f t="shared" si="36"/>
        <v>0.45</v>
      </c>
      <c r="AO11" s="106">
        <f t="shared" si="37"/>
        <v>0.24</v>
      </c>
      <c r="AP11" s="111">
        <f t="shared" si="61"/>
        <v>0.21000000000000002</v>
      </c>
      <c r="AQ11" s="112">
        <f t="shared" si="38"/>
        <v>3</v>
      </c>
      <c r="AR11" s="109">
        <f t="shared" si="39"/>
        <v>88</v>
      </c>
      <c r="AS11" s="109">
        <f t="shared" si="40"/>
        <v>130</v>
      </c>
      <c r="AT11" s="109" t="str">
        <f t="shared" si="41"/>
        <v>&lt;0.05</v>
      </c>
      <c r="AU11" s="108">
        <f t="shared" si="42"/>
        <v>3.7</v>
      </c>
      <c r="AV11" s="110" t="str">
        <f t="shared" si="43"/>
        <v>&lt;0.2</v>
      </c>
      <c r="AW11" s="108">
        <f t="shared" si="44"/>
        <v>7.5</v>
      </c>
      <c r="AX11" s="108" t="str">
        <f t="shared" si="45"/>
        <v>&lt;0.2</v>
      </c>
      <c r="AY11" s="111" t="str">
        <f t="shared" si="46"/>
        <v>&lt;10</v>
      </c>
      <c r="AZ11" s="109">
        <v>1719004</v>
      </c>
      <c r="BA11" s="106" t="str">
        <f t="shared" si="47"/>
        <v>&lt;0.2</v>
      </c>
      <c r="BB11" s="106">
        <f t="shared" si="48"/>
        <v>6.2</v>
      </c>
      <c r="BC11" s="106">
        <f t="shared" si="49"/>
        <v>0.21</v>
      </c>
      <c r="BD11" s="111">
        <f t="shared" si="50"/>
        <v>0.35</v>
      </c>
      <c r="BE11" s="106">
        <f t="shared" si="51"/>
        <v>0.22</v>
      </c>
      <c r="BF11" s="106">
        <f t="shared" si="62"/>
        <v>0.12999999999999998</v>
      </c>
      <c r="BG11" s="106">
        <f t="shared" si="52"/>
        <v>2.2000000000000002</v>
      </c>
      <c r="BH11" s="109" t="str">
        <f t="shared" si="53"/>
        <v>&lt;20</v>
      </c>
      <c r="BI11" s="109">
        <f t="shared" si="54"/>
        <v>100</v>
      </c>
      <c r="BJ11" s="109" t="str">
        <f t="shared" si="55"/>
        <v>&lt;0.05</v>
      </c>
      <c r="BK11" s="112">
        <f t="shared" si="56"/>
        <v>3.7</v>
      </c>
      <c r="BL11" s="110" t="str">
        <f t="shared" si="57"/>
        <v>&lt;0.2</v>
      </c>
      <c r="BM11" s="108">
        <f t="shared" si="58"/>
        <v>7.6</v>
      </c>
      <c r="BN11" s="110" t="str">
        <f t="shared" si="59"/>
        <v>&lt;0.2</v>
      </c>
      <c r="BO11" s="113" t="str">
        <f t="shared" si="60"/>
        <v>&lt;10</v>
      </c>
    </row>
    <row r="12" spans="1:67" ht="27" customHeight="1" x14ac:dyDescent="0.4">
      <c r="A12" s="105" t="s">
        <v>108</v>
      </c>
      <c r="B12" s="115" t="str">
        <f t="shared" si="0"/>
        <v>Aliso Viejo</v>
      </c>
      <c r="C12" s="260">
        <v>1720004</v>
      </c>
      <c r="D12" s="107">
        <f t="shared" si="1"/>
        <v>44342.420138888891</v>
      </c>
      <c r="E12" s="118"/>
      <c r="F12" s="108">
        <f t="shared" si="2"/>
        <v>11.6</v>
      </c>
      <c r="G12" s="108">
        <f t="shared" si="3"/>
        <v>4.5599999999999996</v>
      </c>
      <c r="H12" s="109">
        <f t="shared" si="4"/>
        <v>1764</v>
      </c>
      <c r="I12" s="110">
        <f t="shared" si="5"/>
        <v>7.73</v>
      </c>
      <c r="J12" s="110">
        <f t="shared" si="6"/>
        <v>20.8</v>
      </c>
      <c r="K12" s="109">
        <f t="shared" si="7"/>
        <v>60</v>
      </c>
      <c r="L12" s="109">
        <f t="shared" si="8"/>
        <v>160</v>
      </c>
      <c r="M12" s="109">
        <f t="shared" si="9"/>
        <v>80</v>
      </c>
      <c r="N12" s="109" t="str">
        <f t="shared" si="10"/>
        <v>&gt;=950</v>
      </c>
      <c r="O12" s="110" t="str">
        <f t="shared" si="11"/>
        <v>&lt;0.1</v>
      </c>
      <c r="P12" s="108">
        <f t="shared" si="12"/>
        <v>1.9</v>
      </c>
      <c r="Q12" s="111">
        <f t="shared" si="13"/>
        <v>0.19</v>
      </c>
      <c r="R12" s="110">
        <f t="shared" si="14"/>
        <v>0.64</v>
      </c>
      <c r="S12" s="108">
        <f t="shared" si="15"/>
        <v>0.96</v>
      </c>
      <c r="T12" s="108" t="str">
        <f t="shared" si="16"/>
        <v>&lt;5.6</v>
      </c>
      <c r="U12" s="108">
        <f t="shared" si="17"/>
        <v>4.5999999999999996</v>
      </c>
      <c r="V12" s="110">
        <f t="shared" si="18"/>
        <v>7.98</v>
      </c>
      <c r="W12" s="109">
        <f t="shared" si="19"/>
        <v>1600</v>
      </c>
      <c r="X12" s="110">
        <f t="shared" si="20"/>
        <v>0.3</v>
      </c>
      <c r="Y12" s="108" t="str">
        <f t="shared" si="21"/>
        <v>&lt;2</v>
      </c>
      <c r="Z12" s="110" t="str">
        <f t="shared" si="22"/>
        <v>&lt;2</v>
      </c>
      <c r="AA12" s="110" t="str">
        <f t="shared" si="23"/>
        <v>&lt;2</v>
      </c>
      <c r="AB12" s="108" t="str">
        <f t="shared" si="24"/>
        <v>&lt;1</v>
      </c>
      <c r="AC12" s="108" t="str">
        <f t="shared" si="25"/>
        <v>&lt;5</v>
      </c>
      <c r="AD12" s="106">
        <f t="shared" si="26"/>
        <v>170</v>
      </c>
      <c r="AE12" s="106">
        <f t="shared" si="27"/>
        <v>4.8</v>
      </c>
      <c r="AF12" s="109">
        <f t="shared" si="28"/>
        <v>383</v>
      </c>
      <c r="AG12" s="106" t="str">
        <f t="shared" si="29"/>
        <v>&lt;0.05</v>
      </c>
      <c r="AH12" s="109">
        <f t="shared" si="30"/>
        <v>230</v>
      </c>
      <c r="AI12" s="109">
        <f t="shared" si="31"/>
        <v>790</v>
      </c>
      <c r="AJ12" s="106">
        <f t="shared" si="32"/>
        <v>5.0999999999999996</v>
      </c>
      <c r="AK12" s="106" t="str">
        <f t="shared" si="33"/>
        <v>&lt;0.2</v>
      </c>
      <c r="AL12" s="112">
        <f t="shared" si="34"/>
        <v>0.97</v>
      </c>
      <c r="AM12" s="106" t="str">
        <f t="shared" si="35"/>
        <v>&lt;0.2</v>
      </c>
      <c r="AN12" s="111">
        <f t="shared" si="36"/>
        <v>0.66</v>
      </c>
      <c r="AO12" s="106">
        <f t="shared" si="37"/>
        <v>0.52</v>
      </c>
      <c r="AP12" s="111">
        <f t="shared" si="61"/>
        <v>0.14000000000000001</v>
      </c>
      <c r="AQ12" s="106">
        <f t="shared" si="38"/>
        <v>2.2000000000000002</v>
      </c>
      <c r="AR12" s="109" t="str">
        <f t="shared" si="39"/>
        <v>&lt;20</v>
      </c>
      <c r="AS12" s="109">
        <f t="shared" si="40"/>
        <v>14</v>
      </c>
      <c r="AT12" s="109" t="str">
        <f t="shared" si="41"/>
        <v>&lt;0.05</v>
      </c>
      <c r="AU12" s="108">
        <f t="shared" si="42"/>
        <v>2</v>
      </c>
      <c r="AV12" s="110" t="str">
        <f t="shared" si="43"/>
        <v>&lt;0.2</v>
      </c>
      <c r="AW12" s="108">
        <f t="shared" si="44"/>
        <v>4.2</v>
      </c>
      <c r="AX12" s="108" t="str">
        <f t="shared" si="45"/>
        <v>&lt;0.2</v>
      </c>
      <c r="AY12" s="111" t="str">
        <f t="shared" si="46"/>
        <v>&lt;10</v>
      </c>
      <c r="AZ12" s="108">
        <v>1720008</v>
      </c>
      <c r="BA12" s="106" t="str">
        <f t="shared" si="47"/>
        <v>&lt;0.2</v>
      </c>
      <c r="BB12" s="106">
        <f t="shared" si="48"/>
        <v>0.96</v>
      </c>
      <c r="BC12" s="106" t="str">
        <f t="shared" si="49"/>
        <v>&lt;0.2</v>
      </c>
      <c r="BD12" s="111">
        <f t="shared" si="50"/>
        <v>0.6</v>
      </c>
      <c r="BE12" s="106">
        <f t="shared" si="51"/>
        <v>0.49</v>
      </c>
      <c r="BF12" s="106">
        <f t="shared" si="62"/>
        <v>0.10999999999999999</v>
      </c>
      <c r="BG12" s="106">
        <f t="shared" si="52"/>
        <v>1.8</v>
      </c>
      <c r="BH12" s="109" t="str">
        <f t="shared" si="53"/>
        <v>&lt;20</v>
      </c>
      <c r="BI12" s="109">
        <f t="shared" si="54"/>
        <v>12</v>
      </c>
      <c r="BJ12" s="109" t="str">
        <f t="shared" si="55"/>
        <v>&lt;0.05</v>
      </c>
      <c r="BK12" s="112">
        <f t="shared" si="56"/>
        <v>2</v>
      </c>
      <c r="BL12" s="110" t="str">
        <f t="shared" si="57"/>
        <v>&lt;0.2</v>
      </c>
      <c r="BM12" s="108">
        <f t="shared" si="58"/>
        <v>4.4000000000000004</v>
      </c>
      <c r="BN12" s="110" t="str">
        <f t="shared" si="59"/>
        <v>&lt;0.2</v>
      </c>
      <c r="BO12" s="113" t="str">
        <f t="shared" si="60"/>
        <v>&lt;10</v>
      </c>
    </row>
    <row r="13" spans="1:67" ht="27" customHeight="1" x14ac:dyDescent="0.4">
      <c r="A13" s="105" t="s">
        <v>109</v>
      </c>
      <c r="B13" s="106" t="str">
        <f t="shared" si="0"/>
        <v>County of Orange</v>
      </c>
      <c r="C13" s="260">
        <v>1724001</v>
      </c>
      <c r="D13" s="107">
        <f t="shared" si="1"/>
        <v>44342.350694444445</v>
      </c>
      <c r="E13" s="107"/>
      <c r="F13" s="108">
        <f t="shared" si="2"/>
        <v>4.5599999999999996</v>
      </c>
      <c r="G13" s="108">
        <f t="shared" si="3"/>
        <v>8.68</v>
      </c>
      <c r="H13" s="109">
        <f t="shared" si="4"/>
        <v>1766.4</v>
      </c>
      <c r="I13" s="110">
        <f t="shared" si="5"/>
        <v>7.76</v>
      </c>
      <c r="J13" s="110">
        <f t="shared" si="6"/>
        <v>18.38</v>
      </c>
      <c r="K13" s="109">
        <f t="shared" si="7"/>
        <v>1260</v>
      </c>
      <c r="L13" s="109">
        <f t="shared" si="8"/>
        <v>2500</v>
      </c>
      <c r="M13" s="109" t="str">
        <f t="shared" si="9"/>
        <v>&gt;=1300</v>
      </c>
      <c r="N13" s="109" t="str">
        <f t="shared" si="10"/>
        <v>&gt;=9000</v>
      </c>
      <c r="O13" s="110">
        <f t="shared" si="11"/>
        <v>0.13</v>
      </c>
      <c r="P13" s="108">
        <f t="shared" si="12"/>
        <v>0.96</v>
      </c>
      <c r="Q13" s="111">
        <f t="shared" si="13"/>
        <v>0.19</v>
      </c>
      <c r="R13" s="108">
        <f t="shared" si="14"/>
        <v>1</v>
      </c>
      <c r="S13" s="110">
        <f t="shared" si="15"/>
        <v>0.91</v>
      </c>
      <c r="T13" s="108" t="str">
        <f t="shared" si="16"/>
        <v>&lt;5.9</v>
      </c>
      <c r="U13" s="108">
        <f t="shared" si="17"/>
        <v>3.2</v>
      </c>
      <c r="V13" s="110">
        <f t="shared" si="18"/>
        <v>8.0399999999999991</v>
      </c>
      <c r="W13" s="109">
        <f t="shared" si="19"/>
        <v>2400</v>
      </c>
      <c r="X13" s="108">
        <f t="shared" si="20"/>
        <v>1.2</v>
      </c>
      <c r="Y13" s="108" t="str">
        <f t="shared" si="21"/>
        <v>&lt;2</v>
      </c>
      <c r="Z13" s="110" t="str">
        <f t="shared" si="22"/>
        <v>&lt;2</v>
      </c>
      <c r="AA13" s="110" t="str">
        <f t="shared" si="23"/>
        <v>&lt;2</v>
      </c>
      <c r="AB13" s="108" t="str">
        <f t="shared" si="24"/>
        <v>&lt;1</v>
      </c>
      <c r="AC13" s="108" t="str">
        <f t="shared" si="25"/>
        <v>&lt;5</v>
      </c>
      <c r="AD13" s="106">
        <f t="shared" si="26"/>
        <v>300</v>
      </c>
      <c r="AE13" s="106">
        <f t="shared" si="27"/>
        <v>7.4</v>
      </c>
      <c r="AF13" s="109">
        <f t="shared" si="28"/>
        <v>496</v>
      </c>
      <c r="AG13" s="106" t="str">
        <f t="shared" si="29"/>
        <v>&lt;0.05</v>
      </c>
      <c r="AH13" s="109">
        <f t="shared" si="30"/>
        <v>360</v>
      </c>
      <c r="AI13" s="109">
        <f t="shared" si="31"/>
        <v>1200</v>
      </c>
      <c r="AJ13" s="106">
        <f t="shared" si="32"/>
        <v>8.5</v>
      </c>
      <c r="AK13" s="106" t="str">
        <f t="shared" si="33"/>
        <v>&lt;0.2</v>
      </c>
      <c r="AL13" s="106">
        <f t="shared" si="34"/>
        <v>2.2999999999999998</v>
      </c>
      <c r="AM13" s="106" t="str">
        <f t="shared" si="35"/>
        <v>&lt;0.2</v>
      </c>
      <c r="AN13" s="111">
        <f t="shared" si="36"/>
        <v>0.32</v>
      </c>
      <c r="AO13" s="106">
        <f t="shared" si="37"/>
        <v>0.18</v>
      </c>
      <c r="AP13" s="111">
        <f t="shared" si="61"/>
        <v>0.14000000000000001</v>
      </c>
      <c r="AQ13" s="112">
        <f t="shared" si="38"/>
        <v>6</v>
      </c>
      <c r="AR13" s="109">
        <f t="shared" si="39"/>
        <v>50</v>
      </c>
      <c r="AS13" s="109">
        <f t="shared" si="40"/>
        <v>22</v>
      </c>
      <c r="AT13" s="109" t="str">
        <f t="shared" si="41"/>
        <v>&lt;0.05</v>
      </c>
      <c r="AU13" s="108" t="str">
        <f t="shared" si="42"/>
        <v>&lt;2</v>
      </c>
      <c r="AV13" s="110" t="str">
        <f t="shared" si="43"/>
        <v>&lt;0.2</v>
      </c>
      <c r="AW13" s="108">
        <f t="shared" si="44"/>
        <v>1</v>
      </c>
      <c r="AX13" s="108" t="str">
        <f t="shared" si="45"/>
        <v>&lt;0.2</v>
      </c>
      <c r="AY13" s="111" t="str">
        <f t="shared" si="46"/>
        <v>&lt;10</v>
      </c>
      <c r="AZ13" s="109">
        <v>1724006</v>
      </c>
      <c r="BA13" s="106" t="str">
        <f t="shared" si="47"/>
        <v>&lt;0.2</v>
      </c>
      <c r="BB13" s="106">
        <f t="shared" si="48"/>
        <v>2.2999999999999998</v>
      </c>
      <c r="BC13" s="106" t="str">
        <f t="shared" si="49"/>
        <v>&lt;0.2</v>
      </c>
      <c r="BD13" s="111">
        <f t="shared" si="50"/>
        <v>0.27</v>
      </c>
      <c r="BE13" s="106">
        <f t="shared" si="51"/>
        <v>0.19</v>
      </c>
      <c r="BF13" s="106">
        <f t="shared" si="62"/>
        <v>8.0000000000000016E-2</v>
      </c>
      <c r="BG13" s="106">
        <f t="shared" si="52"/>
        <v>4.9000000000000004</v>
      </c>
      <c r="BH13" s="109" t="str">
        <f t="shared" si="53"/>
        <v>&lt;20</v>
      </c>
      <c r="BI13" s="108">
        <f t="shared" si="54"/>
        <v>6.5</v>
      </c>
      <c r="BJ13" s="109" t="str">
        <f t="shared" si="55"/>
        <v>&lt;0.05</v>
      </c>
      <c r="BK13" s="112" t="str">
        <f t="shared" si="56"/>
        <v>&lt;2</v>
      </c>
      <c r="BL13" s="110" t="str">
        <f t="shared" si="57"/>
        <v>&lt;0.2</v>
      </c>
      <c r="BM13" s="108">
        <f t="shared" si="58"/>
        <v>1</v>
      </c>
      <c r="BN13" s="110" t="str">
        <f t="shared" si="59"/>
        <v>&lt;0.2</v>
      </c>
      <c r="BO13" s="113" t="str">
        <f t="shared" si="60"/>
        <v>&lt;10</v>
      </c>
    </row>
    <row r="14" spans="1:67" ht="27" customHeight="1" x14ac:dyDescent="0.4">
      <c r="A14" s="105" t="s">
        <v>110</v>
      </c>
      <c r="B14" s="115" t="str">
        <f t="shared" si="0"/>
        <v>County of Orange</v>
      </c>
      <c r="C14" s="260">
        <v>1720003</v>
      </c>
      <c r="D14" s="107">
        <f t="shared" si="1"/>
        <v>44342.37777777778</v>
      </c>
      <c r="E14" s="118"/>
      <c r="F14" s="108">
        <f t="shared" si="2"/>
        <v>2.66</v>
      </c>
      <c r="G14" s="108">
        <f t="shared" si="3"/>
        <v>8.8699999999999992</v>
      </c>
      <c r="H14" s="109">
        <f t="shared" si="4"/>
        <v>2538</v>
      </c>
      <c r="I14" s="110">
        <f t="shared" si="5"/>
        <v>8.25</v>
      </c>
      <c r="J14" s="110">
        <f t="shared" si="6"/>
        <v>20.3</v>
      </c>
      <c r="K14" s="109" t="str">
        <f t="shared" si="7"/>
        <v>&gt;=250</v>
      </c>
      <c r="L14" s="109">
        <f t="shared" si="8"/>
        <v>1330</v>
      </c>
      <c r="M14" s="109">
        <f t="shared" si="9"/>
        <v>600</v>
      </c>
      <c r="N14" s="109" t="str">
        <f t="shared" si="10"/>
        <v>&gt;=32000</v>
      </c>
      <c r="O14" s="108">
        <f t="shared" si="11"/>
        <v>1.7</v>
      </c>
      <c r="P14" s="108">
        <f t="shared" si="12"/>
        <v>3.8</v>
      </c>
      <c r="Q14" s="124">
        <f t="shared" si="13"/>
        <v>0.33</v>
      </c>
      <c r="R14" s="108">
        <f t="shared" si="14"/>
        <v>2.5</v>
      </c>
      <c r="S14" s="108">
        <f t="shared" si="15"/>
        <v>1.4</v>
      </c>
      <c r="T14" s="108" t="str">
        <f t="shared" si="16"/>
        <v>&lt;8.3</v>
      </c>
      <c r="U14" s="109">
        <f t="shared" si="17"/>
        <v>12</v>
      </c>
      <c r="V14" s="110">
        <f t="shared" si="18"/>
        <v>7.67</v>
      </c>
      <c r="W14" s="109">
        <f t="shared" si="19"/>
        <v>2200</v>
      </c>
      <c r="X14" s="108">
        <f t="shared" si="20"/>
        <v>1.5</v>
      </c>
      <c r="Y14" s="108" t="str">
        <f t="shared" si="21"/>
        <v>&lt;2</v>
      </c>
      <c r="Z14" s="110" t="str">
        <f t="shared" si="22"/>
        <v>&lt;2</v>
      </c>
      <c r="AA14" s="110" t="str">
        <f t="shared" si="23"/>
        <v>&lt;2</v>
      </c>
      <c r="AB14" s="108" t="str">
        <f t="shared" si="24"/>
        <v>&lt;1</v>
      </c>
      <c r="AC14" s="108" t="str">
        <f t="shared" si="25"/>
        <v>&lt;5</v>
      </c>
      <c r="AD14" s="106">
        <f t="shared" si="26"/>
        <v>300</v>
      </c>
      <c r="AE14" s="106">
        <f t="shared" si="27"/>
        <v>6.6</v>
      </c>
      <c r="AF14" s="109">
        <f t="shared" si="28"/>
        <v>418</v>
      </c>
      <c r="AG14" s="106">
        <f t="shared" si="29"/>
        <v>7.0999999999999994E-2</v>
      </c>
      <c r="AH14" s="109">
        <f t="shared" si="30"/>
        <v>310</v>
      </c>
      <c r="AI14" s="109">
        <f t="shared" si="31"/>
        <v>1100</v>
      </c>
      <c r="AJ14" s="106">
        <f t="shared" si="32"/>
        <v>7.4</v>
      </c>
      <c r="AK14" s="106" t="str">
        <f t="shared" si="33"/>
        <v>&lt;0.2</v>
      </c>
      <c r="AL14" s="106">
        <f t="shared" si="34"/>
        <v>2.2000000000000002</v>
      </c>
      <c r="AM14" s="106">
        <f t="shared" si="35"/>
        <v>0.21</v>
      </c>
      <c r="AN14" s="112">
        <f t="shared" si="36"/>
        <v>1.1000000000000001</v>
      </c>
      <c r="AO14" s="106">
        <f t="shared" si="37"/>
        <v>1.1000000000000001</v>
      </c>
      <c r="AP14" s="112">
        <f t="shared" si="61"/>
        <v>0</v>
      </c>
      <c r="AQ14" s="106">
        <f t="shared" si="38"/>
        <v>6.7</v>
      </c>
      <c r="AR14" s="109">
        <f t="shared" si="39"/>
        <v>50</v>
      </c>
      <c r="AS14" s="108">
        <f t="shared" si="40"/>
        <v>5.5</v>
      </c>
      <c r="AT14" s="109" t="str">
        <f t="shared" si="41"/>
        <v>&lt;0.05</v>
      </c>
      <c r="AU14" s="108">
        <f t="shared" si="42"/>
        <v>2.9</v>
      </c>
      <c r="AV14" s="110" t="str">
        <f t="shared" si="43"/>
        <v>&lt;0.2</v>
      </c>
      <c r="AW14" s="108">
        <f t="shared" si="44"/>
        <v>2.1</v>
      </c>
      <c r="AX14" s="108" t="str">
        <f t="shared" si="45"/>
        <v>&lt;0.2</v>
      </c>
      <c r="AY14" s="231">
        <f t="shared" si="46"/>
        <v>20</v>
      </c>
      <c r="AZ14" s="109">
        <v>1720007</v>
      </c>
      <c r="BA14" s="106" t="str">
        <f t="shared" si="47"/>
        <v>&lt;0.2</v>
      </c>
      <c r="BB14" s="106">
        <f t="shared" si="48"/>
        <v>2.2999999999999998</v>
      </c>
      <c r="BC14" s="106">
        <f t="shared" si="49"/>
        <v>0.23</v>
      </c>
      <c r="BD14" s="111">
        <f t="shared" si="50"/>
        <v>1.1000000000000001</v>
      </c>
      <c r="BE14" s="106">
        <f t="shared" si="51"/>
        <v>0.97</v>
      </c>
      <c r="BF14" s="106">
        <f t="shared" si="62"/>
        <v>0.13000000000000012</v>
      </c>
      <c r="BG14" s="106">
        <f t="shared" si="52"/>
        <v>6.1</v>
      </c>
      <c r="BH14" s="109" t="str">
        <f t="shared" si="53"/>
        <v>&lt;20</v>
      </c>
      <c r="BI14" s="108">
        <f t="shared" si="54"/>
        <v>4.5</v>
      </c>
      <c r="BJ14" s="109" t="str">
        <f t="shared" si="55"/>
        <v>&lt;0.05</v>
      </c>
      <c r="BK14" s="112">
        <f t="shared" si="56"/>
        <v>2.9</v>
      </c>
      <c r="BL14" s="110" t="str">
        <f t="shared" si="57"/>
        <v>&lt;0.2</v>
      </c>
      <c r="BM14" s="108">
        <f t="shared" si="58"/>
        <v>2.2000000000000002</v>
      </c>
      <c r="BN14" s="110" t="str">
        <f t="shared" si="59"/>
        <v>&lt;0.2</v>
      </c>
      <c r="BO14" s="113">
        <f t="shared" si="60"/>
        <v>18</v>
      </c>
    </row>
    <row r="15" spans="1:67" ht="27" customHeight="1" x14ac:dyDescent="0.4">
      <c r="A15" s="105" t="s">
        <v>111</v>
      </c>
      <c r="B15" s="115" t="str">
        <f t="shared" si="0"/>
        <v>County of Orange</v>
      </c>
      <c r="C15" s="260">
        <v>1724002</v>
      </c>
      <c r="D15" s="107">
        <f t="shared" si="1"/>
        <v>44342.384027777778</v>
      </c>
      <c r="E15" s="118"/>
      <c r="F15" s="108">
        <f t="shared" si="2"/>
        <v>1.98</v>
      </c>
      <c r="G15" s="108">
        <f t="shared" si="3"/>
        <v>8.36</v>
      </c>
      <c r="H15" s="109">
        <f t="shared" si="4"/>
        <v>1457.5</v>
      </c>
      <c r="I15" s="110">
        <f t="shared" si="5"/>
        <v>7.98</v>
      </c>
      <c r="J15" s="110">
        <f t="shared" si="6"/>
        <v>19.55</v>
      </c>
      <c r="K15" s="109" t="str">
        <f t="shared" si="7"/>
        <v>&gt;=960</v>
      </c>
      <c r="L15" s="109">
        <f t="shared" si="8"/>
        <v>4600</v>
      </c>
      <c r="M15" s="109" t="str">
        <f t="shared" si="9"/>
        <v>&gt;=910</v>
      </c>
      <c r="N15" s="109" t="str">
        <f t="shared" si="10"/>
        <v>&gt;=31000</v>
      </c>
      <c r="O15" s="110">
        <f t="shared" si="11"/>
        <v>0.14000000000000001</v>
      </c>
      <c r="P15" s="108">
        <f t="shared" si="12"/>
        <v>1.3</v>
      </c>
      <c r="Q15" s="111">
        <f t="shared" si="13"/>
        <v>0.21</v>
      </c>
      <c r="R15" s="108">
        <f t="shared" si="14"/>
        <v>2.2999999999999998</v>
      </c>
      <c r="S15" s="108">
        <f t="shared" si="15"/>
        <v>1.1000000000000001</v>
      </c>
      <c r="T15" s="108" t="str">
        <f t="shared" si="16"/>
        <v>&lt;5.6</v>
      </c>
      <c r="U15" s="108">
        <f t="shared" si="17"/>
        <v>3.8</v>
      </c>
      <c r="V15" s="110">
        <f t="shared" si="18"/>
        <v>8.24</v>
      </c>
      <c r="W15" s="109">
        <f t="shared" si="19"/>
        <v>1900</v>
      </c>
      <c r="X15" s="108">
        <f t="shared" si="20"/>
        <v>1</v>
      </c>
      <c r="Y15" s="108" t="str">
        <f t="shared" si="21"/>
        <v>&lt;2</v>
      </c>
      <c r="Z15" s="110" t="str">
        <f t="shared" si="22"/>
        <v>&lt;2</v>
      </c>
      <c r="AA15" s="110" t="str">
        <f t="shared" si="23"/>
        <v>&lt;2</v>
      </c>
      <c r="AB15" s="108" t="str">
        <f t="shared" si="24"/>
        <v>&lt;1</v>
      </c>
      <c r="AC15" s="108" t="str">
        <f t="shared" si="25"/>
        <v>&lt;5</v>
      </c>
      <c r="AD15" s="106">
        <f t="shared" si="26"/>
        <v>190</v>
      </c>
      <c r="AE15" s="106">
        <f t="shared" si="27"/>
        <v>6.9</v>
      </c>
      <c r="AF15" s="109">
        <f t="shared" si="28"/>
        <v>428</v>
      </c>
      <c r="AG15" s="106" t="str">
        <f t="shared" si="29"/>
        <v>&lt;0.05</v>
      </c>
      <c r="AH15" s="109">
        <f t="shared" si="30"/>
        <v>310</v>
      </c>
      <c r="AI15" s="109">
        <f t="shared" si="31"/>
        <v>950</v>
      </c>
      <c r="AJ15" s="106">
        <f t="shared" si="32"/>
        <v>7.5</v>
      </c>
      <c r="AK15" s="106" t="str">
        <f t="shared" si="33"/>
        <v>&lt;0.2</v>
      </c>
      <c r="AL15" s="112">
        <f t="shared" si="34"/>
        <v>3</v>
      </c>
      <c r="AM15" s="106" t="str">
        <f t="shared" si="35"/>
        <v>&lt;0.2</v>
      </c>
      <c r="AN15" s="111">
        <f t="shared" si="36"/>
        <v>0.28000000000000003</v>
      </c>
      <c r="AO15" s="106">
        <f t="shared" si="37"/>
        <v>0.12</v>
      </c>
      <c r="AP15" s="111">
        <f t="shared" si="61"/>
        <v>0.16000000000000003</v>
      </c>
      <c r="AQ15" s="106">
        <f t="shared" si="38"/>
        <v>5.0999999999999996</v>
      </c>
      <c r="AR15" s="109">
        <f t="shared" si="39"/>
        <v>42</v>
      </c>
      <c r="AS15" s="108">
        <f t="shared" si="40"/>
        <v>9.1999999999999993</v>
      </c>
      <c r="AT15" s="109" t="str">
        <f t="shared" si="41"/>
        <v>&lt;0.05</v>
      </c>
      <c r="AU15" s="108" t="str">
        <f t="shared" si="42"/>
        <v>&lt;2</v>
      </c>
      <c r="AV15" s="110" t="str">
        <f t="shared" si="43"/>
        <v>&lt;0.2</v>
      </c>
      <c r="AW15" s="108">
        <f t="shared" si="44"/>
        <v>1.4</v>
      </c>
      <c r="AX15" s="108" t="str">
        <f t="shared" si="45"/>
        <v>&lt;0.2</v>
      </c>
      <c r="AY15" s="111" t="str">
        <f t="shared" si="46"/>
        <v>&lt;10</v>
      </c>
      <c r="AZ15" s="109">
        <v>1724007</v>
      </c>
      <c r="BA15" s="106" t="str">
        <f t="shared" si="47"/>
        <v>&lt;0.2</v>
      </c>
      <c r="BB15" s="106">
        <f t="shared" si="48"/>
        <v>3.1</v>
      </c>
      <c r="BC15" s="106" t="str">
        <f t="shared" si="49"/>
        <v>&lt;0.2</v>
      </c>
      <c r="BD15" s="111">
        <f t="shared" si="50"/>
        <v>0.24</v>
      </c>
      <c r="BE15" s="106">
        <f t="shared" si="51"/>
        <v>0.14000000000000001</v>
      </c>
      <c r="BF15" s="111">
        <f t="shared" si="62"/>
        <v>9.9999999999999978E-2</v>
      </c>
      <c r="BG15" s="106">
        <f t="shared" si="52"/>
        <v>4.3</v>
      </c>
      <c r="BH15" s="109" t="str">
        <f t="shared" si="53"/>
        <v>&lt;20</v>
      </c>
      <c r="BI15" s="108">
        <f t="shared" si="54"/>
        <v>7.5</v>
      </c>
      <c r="BJ15" s="109" t="str">
        <f t="shared" si="55"/>
        <v>&lt;0.05</v>
      </c>
      <c r="BK15" s="112" t="str">
        <f t="shared" si="56"/>
        <v>&lt;2</v>
      </c>
      <c r="BL15" s="110" t="str">
        <f t="shared" si="57"/>
        <v>&lt;0.2</v>
      </c>
      <c r="BM15" s="108">
        <f t="shared" si="58"/>
        <v>1.4</v>
      </c>
      <c r="BN15" s="110" t="str">
        <f t="shared" si="59"/>
        <v>&lt;0.2</v>
      </c>
      <c r="BO15" s="113" t="str">
        <f t="shared" si="60"/>
        <v>&lt;10</v>
      </c>
    </row>
    <row r="16" spans="1:67" ht="27" customHeight="1" x14ac:dyDescent="0.4">
      <c r="A16" s="105" t="s">
        <v>112</v>
      </c>
      <c r="B16" s="115" t="str">
        <f t="shared" si="0"/>
        <v>County of Orange</v>
      </c>
      <c r="C16" s="260">
        <v>1724003</v>
      </c>
      <c r="D16" s="107">
        <f t="shared" si="1"/>
        <v>44342.432638888888</v>
      </c>
      <c r="E16" s="118"/>
      <c r="F16" s="108">
        <f t="shared" si="2"/>
        <v>3.12</v>
      </c>
      <c r="G16" s="108">
        <f t="shared" si="3"/>
        <v>6.75</v>
      </c>
      <c r="H16" s="109">
        <f t="shared" si="4"/>
        <v>2781.4</v>
      </c>
      <c r="I16" s="110">
        <f t="shared" si="5"/>
        <v>7.62</v>
      </c>
      <c r="J16" s="110">
        <f t="shared" si="6"/>
        <v>22.44</v>
      </c>
      <c r="K16" s="109">
        <f t="shared" si="7"/>
        <v>40</v>
      </c>
      <c r="L16" s="109">
        <f t="shared" si="8"/>
        <v>580</v>
      </c>
      <c r="M16" s="109">
        <f t="shared" si="9"/>
        <v>30</v>
      </c>
      <c r="N16" s="109" t="str">
        <f t="shared" si="10"/>
        <v>&gt;=5000</v>
      </c>
      <c r="O16" s="108">
        <f t="shared" si="11"/>
        <v>1.6</v>
      </c>
      <c r="P16" s="110">
        <f t="shared" si="12"/>
        <v>0.74</v>
      </c>
      <c r="Q16" s="111">
        <f t="shared" si="13"/>
        <v>0.24</v>
      </c>
      <c r="R16" s="108">
        <f t="shared" si="14"/>
        <v>3.9</v>
      </c>
      <c r="S16" s="108">
        <f t="shared" si="15"/>
        <v>1.2</v>
      </c>
      <c r="T16" s="108">
        <f t="shared" si="16"/>
        <v>7</v>
      </c>
      <c r="U16" s="108">
        <f t="shared" si="17"/>
        <v>7.8</v>
      </c>
      <c r="V16" s="110">
        <f t="shared" si="18"/>
        <v>7.8</v>
      </c>
      <c r="W16" s="109">
        <f t="shared" si="19"/>
        <v>3300</v>
      </c>
      <c r="X16" s="108">
        <f t="shared" si="20"/>
        <v>2.4</v>
      </c>
      <c r="Y16" s="108" t="str">
        <f t="shared" si="21"/>
        <v>&lt;2</v>
      </c>
      <c r="Z16" s="110" t="str">
        <f t="shared" si="22"/>
        <v>&lt;2</v>
      </c>
      <c r="AA16" s="110" t="str">
        <f t="shared" si="23"/>
        <v>&lt;2</v>
      </c>
      <c r="AB16" s="108" t="str">
        <f t="shared" si="24"/>
        <v>&lt;1</v>
      </c>
      <c r="AC16" s="108" t="str">
        <f t="shared" si="25"/>
        <v>&lt;5</v>
      </c>
      <c r="AD16" s="106">
        <f t="shared" si="26"/>
        <v>320</v>
      </c>
      <c r="AE16" s="106">
        <f t="shared" si="27"/>
        <v>14</v>
      </c>
      <c r="AF16" s="109">
        <f t="shared" si="28"/>
        <v>889</v>
      </c>
      <c r="AG16" s="106">
        <f t="shared" si="29"/>
        <v>9.1999999999999998E-2</v>
      </c>
      <c r="AH16" s="109">
        <f t="shared" si="30"/>
        <v>870</v>
      </c>
      <c r="AI16" s="109">
        <f t="shared" si="31"/>
        <v>1800</v>
      </c>
      <c r="AJ16" s="106">
        <f t="shared" si="32"/>
        <v>15</v>
      </c>
      <c r="AK16" s="106" t="str">
        <f t="shared" si="33"/>
        <v>&lt;0.2</v>
      </c>
      <c r="AL16" s="106">
        <f t="shared" si="34"/>
        <v>2.9</v>
      </c>
      <c r="AM16" s="111">
        <f t="shared" si="35"/>
        <v>0.4</v>
      </c>
      <c r="AN16" s="111">
        <f t="shared" si="36"/>
        <v>0.55000000000000004</v>
      </c>
      <c r="AO16" s="106">
        <f t="shared" si="37"/>
        <v>6.6000000000000003E-2</v>
      </c>
      <c r="AP16" s="111">
        <f t="shared" si="61"/>
        <v>0.48400000000000004</v>
      </c>
      <c r="AQ16" s="106">
        <f t="shared" si="38"/>
        <v>2.7</v>
      </c>
      <c r="AR16" s="109">
        <f t="shared" si="39"/>
        <v>110</v>
      </c>
      <c r="AS16" s="109">
        <f t="shared" si="40"/>
        <v>100</v>
      </c>
      <c r="AT16" s="109" t="str">
        <f t="shared" si="41"/>
        <v>&lt;0.05</v>
      </c>
      <c r="AU16" s="109">
        <f t="shared" si="42"/>
        <v>11</v>
      </c>
      <c r="AV16" s="110" t="str">
        <f t="shared" si="43"/>
        <v>&lt;0.2</v>
      </c>
      <c r="AW16" s="109">
        <f t="shared" si="44"/>
        <v>12</v>
      </c>
      <c r="AX16" s="108" t="str">
        <f t="shared" si="45"/>
        <v>&lt;0.2</v>
      </c>
      <c r="AY16" s="111" t="str">
        <f t="shared" si="46"/>
        <v>&lt;10</v>
      </c>
      <c r="AZ16" s="108">
        <v>1724008</v>
      </c>
      <c r="BA16" s="106" t="str">
        <f t="shared" si="47"/>
        <v>&lt;0.2</v>
      </c>
      <c r="BB16" s="106">
        <f t="shared" si="48"/>
        <v>2.8</v>
      </c>
      <c r="BC16" s="106" t="str">
        <f t="shared" si="49"/>
        <v>&lt;0.2</v>
      </c>
      <c r="BD16" s="111">
        <f t="shared" si="50"/>
        <v>0.41</v>
      </c>
      <c r="BE16" s="106" t="str">
        <f t="shared" si="51"/>
        <v>&lt;0.02</v>
      </c>
      <c r="BF16" s="111">
        <f>BD16-0.02</f>
        <v>0.38999999999999996</v>
      </c>
      <c r="BG16" s="106">
        <f t="shared" si="52"/>
        <v>1.6</v>
      </c>
      <c r="BH16" s="109">
        <f t="shared" si="53"/>
        <v>41</v>
      </c>
      <c r="BI16" s="109">
        <f t="shared" si="54"/>
        <v>98</v>
      </c>
      <c r="BJ16" s="109" t="str">
        <f t="shared" si="55"/>
        <v>&lt;0.05</v>
      </c>
      <c r="BK16" s="231">
        <f t="shared" si="56"/>
        <v>10</v>
      </c>
      <c r="BL16" s="110" t="str">
        <f t="shared" si="57"/>
        <v>&lt;0.2</v>
      </c>
      <c r="BM16" s="109">
        <f t="shared" si="58"/>
        <v>11</v>
      </c>
      <c r="BN16" s="110" t="str">
        <f t="shared" si="59"/>
        <v>&lt;0.2</v>
      </c>
      <c r="BO16" s="113" t="str">
        <f t="shared" si="60"/>
        <v>&lt;10</v>
      </c>
    </row>
    <row r="17" spans="1:67" ht="27" customHeight="1" x14ac:dyDescent="0.4">
      <c r="A17" s="105" t="s">
        <v>113</v>
      </c>
      <c r="B17" s="106" t="str">
        <f t="shared" si="0"/>
        <v>County of Orange</v>
      </c>
      <c r="C17" s="260">
        <v>1724004</v>
      </c>
      <c r="D17" s="107">
        <f t="shared" si="1"/>
        <v>44342.46875</v>
      </c>
      <c r="E17" s="107"/>
      <c r="F17" s="108">
        <f t="shared" si="2"/>
        <v>1.47</v>
      </c>
      <c r="G17" s="108">
        <f t="shared" si="3"/>
        <v>8.7899999999999991</v>
      </c>
      <c r="H17" s="109">
        <f t="shared" si="4"/>
        <v>3127.5</v>
      </c>
      <c r="I17" s="110">
        <f t="shared" si="5"/>
        <v>8.01</v>
      </c>
      <c r="J17" s="110">
        <f t="shared" si="6"/>
        <v>18.170000000000002</v>
      </c>
      <c r="K17" s="109">
        <f t="shared" si="7"/>
        <v>630</v>
      </c>
      <c r="L17" s="109">
        <f t="shared" si="8"/>
        <v>3500</v>
      </c>
      <c r="M17" s="109">
        <f t="shared" si="9"/>
        <v>790</v>
      </c>
      <c r="N17" s="109" t="str">
        <f t="shared" si="10"/>
        <v>&gt;=9700</v>
      </c>
      <c r="O17" s="110">
        <f t="shared" si="11"/>
        <v>0.11</v>
      </c>
      <c r="P17" s="108">
        <f t="shared" si="12"/>
        <v>6.7</v>
      </c>
      <c r="Q17" s="111">
        <f t="shared" si="13"/>
        <v>0.28999999999999998</v>
      </c>
      <c r="R17" s="108">
        <f t="shared" si="14"/>
        <v>1.4</v>
      </c>
      <c r="S17" s="108">
        <f t="shared" si="15"/>
        <v>1.7</v>
      </c>
      <c r="T17" s="108" t="str">
        <f t="shared" si="16"/>
        <v>&lt;5.6</v>
      </c>
      <c r="U17" s="108" t="str">
        <f t="shared" si="17"/>
        <v>&lt;0.6</v>
      </c>
      <c r="V17" s="110">
        <f t="shared" si="18"/>
        <v>7.83</v>
      </c>
      <c r="W17" s="109">
        <f t="shared" si="19"/>
        <v>3700</v>
      </c>
      <c r="X17" s="108">
        <f t="shared" si="20"/>
        <v>1.3</v>
      </c>
      <c r="Y17" s="108" t="str">
        <f t="shared" si="21"/>
        <v>&lt;2</v>
      </c>
      <c r="Z17" s="110" t="str">
        <f t="shared" si="22"/>
        <v>&lt;2</v>
      </c>
      <c r="AA17" s="110" t="str">
        <f t="shared" si="23"/>
        <v>&lt;2</v>
      </c>
      <c r="AB17" s="108" t="str">
        <f t="shared" si="24"/>
        <v>&lt;1</v>
      </c>
      <c r="AC17" s="108" t="str">
        <f t="shared" si="25"/>
        <v>&lt;5</v>
      </c>
      <c r="AD17" s="106">
        <f t="shared" si="26"/>
        <v>300</v>
      </c>
      <c r="AE17" s="106">
        <f t="shared" si="27"/>
        <v>9.9</v>
      </c>
      <c r="AF17" s="109">
        <f t="shared" si="28"/>
        <v>1210</v>
      </c>
      <c r="AG17" s="106">
        <f t="shared" si="29"/>
        <v>6.6000000000000003E-2</v>
      </c>
      <c r="AH17" s="109">
        <f t="shared" si="30"/>
        <v>1200</v>
      </c>
      <c r="AI17" s="109">
        <f t="shared" si="31"/>
        <v>2400</v>
      </c>
      <c r="AJ17" s="106">
        <f t="shared" si="32"/>
        <v>11</v>
      </c>
      <c r="AK17" s="106" t="str">
        <f t="shared" si="33"/>
        <v>&lt;0.2</v>
      </c>
      <c r="AL17" s="106">
        <f t="shared" si="34"/>
        <v>1.8</v>
      </c>
      <c r="AM17" s="106">
        <f t="shared" si="35"/>
        <v>7.2</v>
      </c>
      <c r="AN17" s="111">
        <f t="shared" si="36"/>
        <v>0.37</v>
      </c>
      <c r="AO17" s="106" t="str">
        <f t="shared" si="37"/>
        <v>&lt;0.02</v>
      </c>
      <c r="AP17" s="111" t="s">
        <v>114</v>
      </c>
      <c r="AQ17" s="106">
        <f t="shared" si="38"/>
        <v>5.2</v>
      </c>
      <c r="AR17" s="109">
        <f t="shared" si="39"/>
        <v>61</v>
      </c>
      <c r="AS17" s="109">
        <f t="shared" si="40"/>
        <v>140</v>
      </c>
      <c r="AT17" s="109" t="str">
        <f t="shared" si="41"/>
        <v>&lt;0.05</v>
      </c>
      <c r="AU17" s="109">
        <f t="shared" si="42"/>
        <v>56</v>
      </c>
      <c r="AV17" s="110" t="str">
        <f t="shared" si="43"/>
        <v>&lt;0.2</v>
      </c>
      <c r="AW17" s="109">
        <f t="shared" si="44"/>
        <v>10</v>
      </c>
      <c r="AX17" s="108" t="str">
        <f t="shared" si="45"/>
        <v>&lt;0.2</v>
      </c>
      <c r="AY17" s="231">
        <f t="shared" si="46"/>
        <v>25</v>
      </c>
      <c r="AZ17" s="108">
        <v>1724009</v>
      </c>
      <c r="BA17" s="106" t="str">
        <f t="shared" si="47"/>
        <v>&lt;0.2</v>
      </c>
      <c r="BB17" s="106">
        <f t="shared" si="48"/>
        <v>1.8</v>
      </c>
      <c r="BC17" s="106">
        <f t="shared" si="49"/>
        <v>4.5999999999999996</v>
      </c>
      <c r="BD17" s="111">
        <f t="shared" si="50"/>
        <v>0.31</v>
      </c>
      <c r="BE17" s="106">
        <f t="shared" si="51"/>
        <v>6.4000000000000001E-2</v>
      </c>
      <c r="BF17" s="106">
        <f>BD17-0.02</f>
        <v>0.28999999999999998</v>
      </c>
      <c r="BG17" s="106">
        <f t="shared" si="52"/>
        <v>4.9000000000000004</v>
      </c>
      <c r="BH17" s="109">
        <f t="shared" si="53"/>
        <v>20</v>
      </c>
      <c r="BI17" s="109">
        <f t="shared" si="54"/>
        <v>130</v>
      </c>
      <c r="BJ17" s="109" t="str">
        <f t="shared" si="55"/>
        <v>&lt;0.05</v>
      </c>
      <c r="BK17" s="231">
        <f t="shared" si="56"/>
        <v>55</v>
      </c>
      <c r="BL17" s="110" t="str">
        <f t="shared" si="57"/>
        <v>&lt;0.2</v>
      </c>
      <c r="BM17" s="109">
        <f t="shared" si="58"/>
        <v>10</v>
      </c>
      <c r="BN17" s="110" t="str">
        <f t="shared" si="59"/>
        <v>&lt;0.2</v>
      </c>
      <c r="BO17" s="113">
        <f t="shared" si="60"/>
        <v>21</v>
      </c>
    </row>
    <row r="18" spans="1:67" ht="27" customHeight="1" x14ac:dyDescent="0.4">
      <c r="A18" s="105" t="s">
        <v>115</v>
      </c>
      <c r="B18" s="115" t="str">
        <f t="shared" si="0"/>
        <v>County of Orange</v>
      </c>
      <c r="C18" s="260">
        <v>1724005</v>
      </c>
      <c r="D18" s="107">
        <f t="shared" si="1"/>
        <v>44342.524305555555</v>
      </c>
      <c r="E18" s="107"/>
      <c r="F18" s="110">
        <f t="shared" si="2"/>
        <v>0.81</v>
      </c>
      <c r="G18" s="108">
        <f t="shared" si="3"/>
        <v>7.11</v>
      </c>
      <c r="H18" s="109">
        <f t="shared" si="4"/>
        <v>3153.5</v>
      </c>
      <c r="I18" s="110">
        <f t="shared" si="5"/>
        <v>7.15</v>
      </c>
      <c r="J18" s="110">
        <f t="shared" si="6"/>
        <v>19.510000000000002</v>
      </c>
      <c r="K18" s="109">
        <f t="shared" si="7"/>
        <v>360</v>
      </c>
      <c r="L18" s="109">
        <f t="shared" si="8"/>
        <v>1600</v>
      </c>
      <c r="M18" s="109">
        <f t="shared" si="9"/>
        <v>340</v>
      </c>
      <c r="N18" s="109" t="str">
        <f t="shared" si="10"/>
        <v>&gt;=5300</v>
      </c>
      <c r="O18" s="110">
        <f t="shared" si="11"/>
        <v>0.23</v>
      </c>
      <c r="P18" s="108">
        <f t="shared" si="12"/>
        <v>5.9</v>
      </c>
      <c r="Q18" s="111">
        <f t="shared" si="13"/>
        <v>0.2</v>
      </c>
      <c r="R18" s="108">
        <f t="shared" si="14"/>
        <v>2.9</v>
      </c>
      <c r="S18" s="108">
        <f t="shared" si="15"/>
        <v>1.1000000000000001</v>
      </c>
      <c r="T18" s="108" t="str">
        <f t="shared" si="16"/>
        <v>&lt;5.6</v>
      </c>
      <c r="U18" s="108" t="str">
        <f t="shared" si="17"/>
        <v>&lt;0.6</v>
      </c>
      <c r="V18" s="110">
        <f t="shared" si="18"/>
        <v>7.35</v>
      </c>
      <c r="W18" s="109">
        <f t="shared" si="19"/>
        <v>3700</v>
      </c>
      <c r="X18" s="110">
        <f t="shared" si="20"/>
        <v>0.67</v>
      </c>
      <c r="Y18" s="108" t="str">
        <f t="shared" si="21"/>
        <v>&lt;2</v>
      </c>
      <c r="Z18" s="110" t="str">
        <f t="shared" si="22"/>
        <v>&lt;2</v>
      </c>
      <c r="AA18" s="110" t="str">
        <f t="shared" si="23"/>
        <v>&lt;2</v>
      </c>
      <c r="AB18" s="108" t="str">
        <f t="shared" si="24"/>
        <v>&lt;1</v>
      </c>
      <c r="AC18" s="108" t="str">
        <f t="shared" si="25"/>
        <v>&lt;5</v>
      </c>
      <c r="AD18" s="106">
        <f t="shared" si="26"/>
        <v>540</v>
      </c>
      <c r="AE18" s="106">
        <f t="shared" si="27"/>
        <v>4.4000000000000004</v>
      </c>
      <c r="AF18" s="109">
        <f t="shared" si="28"/>
        <v>964</v>
      </c>
      <c r="AG18" s="106" t="str">
        <f t="shared" si="29"/>
        <v>&lt;0.05</v>
      </c>
      <c r="AH18" s="109">
        <f t="shared" si="30"/>
        <v>690</v>
      </c>
      <c r="AI18" s="109">
        <f t="shared" si="31"/>
        <v>2000</v>
      </c>
      <c r="AJ18" s="112">
        <f t="shared" si="32"/>
        <v>7</v>
      </c>
      <c r="AK18" s="106" t="str">
        <f t="shared" si="33"/>
        <v>&lt;0.2</v>
      </c>
      <c r="AL18" s="106">
        <f t="shared" si="34"/>
        <v>2.2999999999999998</v>
      </c>
      <c r="AM18" s="112">
        <f t="shared" si="35"/>
        <v>0.97</v>
      </c>
      <c r="AN18" s="111">
        <f t="shared" si="36"/>
        <v>0.26</v>
      </c>
      <c r="AO18" s="106">
        <f t="shared" si="37"/>
        <v>5.3999999999999999E-2</v>
      </c>
      <c r="AP18" s="111">
        <f>AN18-AO18</f>
        <v>0.20600000000000002</v>
      </c>
      <c r="AQ18" s="106">
        <f t="shared" si="38"/>
        <v>4.3</v>
      </c>
      <c r="AR18" s="109">
        <f t="shared" si="39"/>
        <v>32</v>
      </c>
      <c r="AS18" s="109">
        <f t="shared" si="40"/>
        <v>46</v>
      </c>
      <c r="AT18" s="109" t="str">
        <f t="shared" si="41"/>
        <v>&lt;0.05</v>
      </c>
      <c r="AU18" s="108">
        <f t="shared" si="42"/>
        <v>5.3</v>
      </c>
      <c r="AV18" s="110" t="str">
        <f t="shared" si="43"/>
        <v>&lt;0.2</v>
      </c>
      <c r="AW18" s="109">
        <f t="shared" si="44"/>
        <v>25</v>
      </c>
      <c r="AX18" s="108" t="str">
        <f t="shared" si="45"/>
        <v>&lt;0.2</v>
      </c>
      <c r="AY18" s="231">
        <f t="shared" si="46"/>
        <v>15</v>
      </c>
      <c r="AZ18" s="109">
        <v>1724010</v>
      </c>
      <c r="BA18" s="106" t="str">
        <f t="shared" si="47"/>
        <v>&lt;0.2</v>
      </c>
      <c r="BB18" s="106">
        <f t="shared" si="48"/>
        <v>2.2999999999999998</v>
      </c>
      <c r="BC18" s="106">
        <f t="shared" si="49"/>
        <v>0.81</v>
      </c>
      <c r="BD18" s="111">
        <f t="shared" si="50"/>
        <v>0.24</v>
      </c>
      <c r="BE18" s="106">
        <f t="shared" si="51"/>
        <v>6.6000000000000003E-2</v>
      </c>
      <c r="BF18" s="111">
        <f>BD18-BE18</f>
        <v>0.17399999999999999</v>
      </c>
      <c r="BG18" s="106">
        <f t="shared" si="52"/>
        <v>3.6</v>
      </c>
      <c r="BH18" s="109" t="str">
        <f t="shared" si="53"/>
        <v>&lt;20</v>
      </c>
      <c r="BI18" s="109">
        <f t="shared" si="54"/>
        <v>43</v>
      </c>
      <c r="BJ18" s="109" t="str">
        <f t="shared" si="55"/>
        <v>&lt;0.05</v>
      </c>
      <c r="BK18" s="112">
        <f t="shared" si="56"/>
        <v>5.0999999999999996</v>
      </c>
      <c r="BL18" s="110" t="str">
        <f t="shared" si="57"/>
        <v>&lt;0.2</v>
      </c>
      <c r="BM18" s="109">
        <f t="shared" si="58"/>
        <v>25</v>
      </c>
      <c r="BN18" s="110" t="str">
        <f t="shared" si="59"/>
        <v>&lt;0.2</v>
      </c>
      <c r="BO18" s="113">
        <f t="shared" si="60"/>
        <v>14</v>
      </c>
    </row>
    <row r="19" spans="1:67" s="119" customFormat="1" ht="27" customHeight="1" x14ac:dyDescent="0.4">
      <c r="A19" s="105" t="s">
        <v>116</v>
      </c>
      <c r="B19" s="115" t="str">
        <f t="shared" si="0"/>
        <v>Dana Point</v>
      </c>
      <c r="C19" s="260">
        <v>1743002</v>
      </c>
      <c r="D19" s="107">
        <f t="shared" si="1"/>
        <v>44349.43472222222</v>
      </c>
      <c r="E19" s="118"/>
      <c r="F19" s="108">
        <f t="shared" si="2"/>
        <v>1.0900000000000001</v>
      </c>
      <c r="G19" s="108">
        <f t="shared" si="3"/>
        <v>10.63</v>
      </c>
      <c r="H19" s="109">
        <f t="shared" si="4"/>
        <v>1265</v>
      </c>
      <c r="I19" s="110">
        <f t="shared" si="5"/>
        <v>8.5299999999999994</v>
      </c>
      <c r="J19" s="110">
        <f t="shared" si="6"/>
        <v>19.98</v>
      </c>
      <c r="K19" s="109">
        <f t="shared" si="7"/>
        <v>200</v>
      </c>
      <c r="L19" s="109">
        <f t="shared" si="8"/>
        <v>600</v>
      </c>
      <c r="M19" s="109">
        <f t="shared" si="9"/>
        <v>230</v>
      </c>
      <c r="N19" s="109" t="str">
        <f t="shared" si="10"/>
        <v>&gt;=4000</v>
      </c>
      <c r="O19" s="110" t="str">
        <f t="shared" si="11"/>
        <v>&lt;0.1</v>
      </c>
      <c r="P19" s="110">
        <f t="shared" si="12"/>
        <v>0.72</v>
      </c>
      <c r="Q19" s="111">
        <f t="shared" si="13"/>
        <v>0.17</v>
      </c>
      <c r="R19" s="110">
        <f t="shared" si="14"/>
        <v>0.61</v>
      </c>
      <c r="S19" s="108">
        <f t="shared" si="15"/>
        <v>1.1000000000000001</v>
      </c>
      <c r="T19" s="108" t="str">
        <f t="shared" si="16"/>
        <v>&lt;5.9</v>
      </c>
      <c r="U19" s="108" t="str">
        <f t="shared" si="17"/>
        <v>&lt;0.6</v>
      </c>
      <c r="V19" s="110">
        <f t="shared" si="18"/>
        <v>8.16</v>
      </c>
      <c r="W19" s="109">
        <f t="shared" si="19"/>
        <v>1200</v>
      </c>
      <c r="X19" s="110">
        <f t="shared" si="20"/>
        <v>0.82</v>
      </c>
      <c r="Y19" s="108" t="str">
        <f t="shared" si="21"/>
        <v>&lt;2</v>
      </c>
      <c r="Z19" s="110" t="str">
        <f t="shared" si="22"/>
        <v>&lt;2</v>
      </c>
      <c r="AA19" s="110" t="str">
        <f t="shared" si="23"/>
        <v>&lt;2</v>
      </c>
      <c r="AB19" s="108" t="str">
        <f t="shared" si="24"/>
        <v>&lt;1</v>
      </c>
      <c r="AC19" s="108" t="str">
        <f t="shared" si="25"/>
        <v>&lt;5</v>
      </c>
      <c r="AD19" s="106">
        <f t="shared" si="26"/>
        <v>160</v>
      </c>
      <c r="AE19" s="106">
        <f t="shared" si="27"/>
        <v>5.8</v>
      </c>
      <c r="AF19" s="109">
        <f t="shared" si="28"/>
        <v>339</v>
      </c>
      <c r="AG19" s="106" t="str">
        <f t="shared" si="29"/>
        <v>&lt;0.05</v>
      </c>
      <c r="AH19" s="109">
        <f t="shared" si="30"/>
        <v>230</v>
      </c>
      <c r="AI19" s="109">
        <f t="shared" si="31"/>
        <v>640</v>
      </c>
      <c r="AJ19" s="106">
        <f t="shared" si="32"/>
        <v>6.1</v>
      </c>
      <c r="AK19" s="106" t="str">
        <f t="shared" si="33"/>
        <v>&lt;0.2</v>
      </c>
      <c r="AL19" s="106">
        <f t="shared" si="34"/>
        <v>1.3</v>
      </c>
      <c r="AM19" s="106">
        <f t="shared" si="35"/>
        <v>0.27</v>
      </c>
      <c r="AN19" s="111">
        <f t="shared" si="36"/>
        <v>0.42</v>
      </c>
      <c r="AO19" s="106">
        <f t="shared" si="37"/>
        <v>0.17</v>
      </c>
      <c r="AP19" s="111">
        <f>AN19-AO19</f>
        <v>0.24999999999999997</v>
      </c>
      <c r="AQ19" s="106">
        <f t="shared" si="38"/>
        <v>7.8</v>
      </c>
      <c r="AR19" s="109">
        <f t="shared" si="39"/>
        <v>54</v>
      </c>
      <c r="AS19" s="108">
        <f t="shared" si="40"/>
        <v>1.9</v>
      </c>
      <c r="AT19" s="109" t="str">
        <f t="shared" si="41"/>
        <v>&lt;0.05</v>
      </c>
      <c r="AU19" s="108">
        <f t="shared" si="42"/>
        <v>4.2</v>
      </c>
      <c r="AV19" s="110" t="str">
        <f t="shared" si="43"/>
        <v>&lt;0.2</v>
      </c>
      <c r="AW19" s="108" t="str">
        <f t="shared" si="44"/>
        <v>&lt;0.4</v>
      </c>
      <c r="AX19" s="108" t="str">
        <f t="shared" si="45"/>
        <v>&lt;0.2</v>
      </c>
      <c r="AY19" s="231">
        <f t="shared" si="46"/>
        <v>12</v>
      </c>
      <c r="AZ19" s="109">
        <v>1743004</v>
      </c>
      <c r="BA19" s="106" t="str">
        <f t="shared" si="47"/>
        <v>&lt;0.2</v>
      </c>
      <c r="BB19" s="106">
        <f t="shared" si="48"/>
        <v>1.3</v>
      </c>
      <c r="BC19" s="106">
        <f t="shared" si="49"/>
        <v>0.21</v>
      </c>
      <c r="BD19" s="111">
        <f t="shared" si="50"/>
        <v>0.35</v>
      </c>
      <c r="BE19" s="106">
        <f t="shared" si="51"/>
        <v>0.16</v>
      </c>
      <c r="BF19" s="106">
        <f>BD19-BE19</f>
        <v>0.18999999999999997</v>
      </c>
      <c r="BG19" s="106">
        <f t="shared" si="52"/>
        <v>6.6</v>
      </c>
      <c r="BH19" s="109">
        <f t="shared" si="53"/>
        <v>27</v>
      </c>
      <c r="BI19" s="108">
        <f t="shared" si="54"/>
        <v>1.4</v>
      </c>
      <c r="BJ19" s="109" t="str">
        <f t="shared" si="55"/>
        <v>&lt;0.05</v>
      </c>
      <c r="BK19" s="112">
        <f t="shared" si="56"/>
        <v>4.2</v>
      </c>
      <c r="BL19" s="110" t="str">
        <f t="shared" si="57"/>
        <v>&lt;0.2</v>
      </c>
      <c r="BM19" s="109" t="str">
        <f t="shared" si="58"/>
        <v>&lt;0.4</v>
      </c>
      <c r="BN19" s="110" t="str">
        <f t="shared" si="59"/>
        <v>&lt;0.2</v>
      </c>
      <c r="BO19" s="113" t="str">
        <f t="shared" si="60"/>
        <v>&lt;10</v>
      </c>
    </row>
    <row r="20" spans="1:67" s="119" customFormat="1" ht="27" customHeight="1" x14ac:dyDescent="0.4">
      <c r="A20" s="105" t="s">
        <v>117</v>
      </c>
      <c r="B20" s="115" t="str">
        <f t="shared" si="0"/>
        <v>Dana Point</v>
      </c>
      <c r="C20" s="260"/>
      <c r="D20" s="107">
        <v>44349.444444444445</v>
      </c>
      <c r="E20" s="118" t="s">
        <v>118</v>
      </c>
      <c r="F20" s="271"/>
      <c r="G20" s="271"/>
      <c r="H20" s="272"/>
      <c r="I20" s="273"/>
      <c r="J20" s="273"/>
      <c r="K20" s="272"/>
      <c r="L20" s="272"/>
      <c r="M20" s="272"/>
      <c r="N20" s="272"/>
      <c r="O20" s="273"/>
      <c r="P20" s="272"/>
      <c r="Q20" s="274"/>
      <c r="R20" s="271"/>
      <c r="S20" s="271"/>
      <c r="T20" s="272"/>
      <c r="U20" s="272"/>
      <c r="V20" s="273"/>
      <c r="W20" s="272"/>
      <c r="X20" s="272"/>
      <c r="Y20" s="271"/>
      <c r="Z20" s="273"/>
      <c r="AA20" s="273"/>
      <c r="AB20" s="271"/>
      <c r="AC20" s="271"/>
      <c r="AD20" s="275"/>
      <c r="AE20" s="275"/>
      <c r="AF20" s="272"/>
      <c r="AG20" s="275"/>
      <c r="AH20" s="272"/>
      <c r="AI20" s="272"/>
      <c r="AJ20" s="275"/>
      <c r="AK20" s="275"/>
      <c r="AL20" s="275"/>
      <c r="AM20" s="275"/>
      <c r="AN20" s="274"/>
      <c r="AO20" s="275"/>
      <c r="AP20" s="274"/>
      <c r="AQ20" s="275"/>
      <c r="AR20" s="272"/>
      <c r="AS20" s="272"/>
      <c r="AT20" s="272"/>
      <c r="AU20" s="271"/>
      <c r="AV20" s="273"/>
      <c r="AW20" s="271"/>
      <c r="AX20" s="271"/>
      <c r="AY20" s="276"/>
      <c r="AZ20" s="272"/>
      <c r="BA20" s="275"/>
      <c r="BB20" s="275"/>
      <c r="BC20" s="274"/>
      <c r="BD20" s="274"/>
      <c r="BE20" s="275"/>
      <c r="BF20" s="275"/>
      <c r="BG20" s="275"/>
      <c r="BH20" s="272"/>
      <c r="BI20" s="272"/>
      <c r="BJ20" s="272"/>
      <c r="BK20" s="277"/>
      <c r="BL20" s="273"/>
      <c r="BM20" s="271"/>
      <c r="BN20" s="273"/>
      <c r="BO20" s="278"/>
    </row>
    <row r="21" spans="1:67" s="119" customFormat="1" ht="27" customHeight="1" x14ac:dyDescent="0.4">
      <c r="A21" s="105" t="s">
        <v>119</v>
      </c>
      <c r="B21" s="106" t="str">
        <f t="shared" si="0"/>
        <v>Laguna Beach</v>
      </c>
      <c r="C21" s="260">
        <v>1726002</v>
      </c>
      <c r="D21" s="107">
        <f t="shared" si="1"/>
        <v>44348.373611111114</v>
      </c>
      <c r="E21" s="107"/>
      <c r="F21" s="135" t="s">
        <v>120</v>
      </c>
      <c r="G21" s="108">
        <f t="shared" si="3"/>
        <v>8.3800000000000008</v>
      </c>
      <c r="H21" s="109">
        <f t="shared" si="4"/>
        <v>10556</v>
      </c>
      <c r="I21" s="110">
        <f t="shared" si="5"/>
        <v>7.81</v>
      </c>
      <c r="J21" s="110">
        <f t="shared" si="6"/>
        <v>17.739999999999998</v>
      </c>
      <c r="K21" s="109">
        <f t="shared" si="7"/>
        <v>710</v>
      </c>
      <c r="L21" s="109">
        <f t="shared" si="8"/>
        <v>430</v>
      </c>
      <c r="M21" s="109">
        <f t="shared" si="9"/>
        <v>550</v>
      </c>
      <c r="N21" s="109" t="str">
        <f t="shared" si="10"/>
        <v>&gt;=1900</v>
      </c>
      <c r="O21" s="110" t="str">
        <f t="shared" si="11"/>
        <v>&lt;0.1</v>
      </c>
      <c r="P21" s="108" t="str">
        <f t="shared" si="12"/>
        <v>&lt;0.1</v>
      </c>
      <c r="Q21" s="111">
        <f t="shared" si="13"/>
        <v>7.2999999999999995E-2</v>
      </c>
      <c r="R21" s="110">
        <f t="shared" si="14"/>
        <v>0.44</v>
      </c>
      <c r="S21" s="110">
        <f t="shared" si="15"/>
        <v>0.5</v>
      </c>
      <c r="T21" s="108" t="str">
        <f t="shared" si="16"/>
        <v>&lt;5.9</v>
      </c>
      <c r="U21" s="108">
        <f t="shared" si="17"/>
        <v>1.4</v>
      </c>
      <c r="V21" s="110">
        <f t="shared" si="18"/>
        <v>7.8</v>
      </c>
      <c r="W21" s="109">
        <f t="shared" si="19"/>
        <v>11000</v>
      </c>
      <c r="X21" s="108">
        <f t="shared" si="20"/>
        <v>1.4</v>
      </c>
      <c r="Y21" s="108" t="str">
        <f t="shared" si="21"/>
        <v>&lt;2</v>
      </c>
      <c r="Z21" s="110" t="str">
        <f t="shared" si="22"/>
        <v>&lt;2</v>
      </c>
      <c r="AA21" s="110" t="str">
        <f t="shared" si="23"/>
        <v>&lt;2</v>
      </c>
      <c r="AB21" s="108" t="str">
        <f t="shared" si="24"/>
        <v>&lt;1</v>
      </c>
      <c r="AC21" s="108" t="str">
        <f t="shared" si="25"/>
        <v>&lt;5</v>
      </c>
      <c r="AD21" s="106">
        <f t="shared" si="26"/>
        <v>2100</v>
      </c>
      <c r="AE21" s="106">
        <f t="shared" si="27"/>
        <v>1</v>
      </c>
      <c r="AF21" s="109">
        <f t="shared" si="28"/>
        <v>3760</v>
      </c>
      <c r="AG21" s="106" t="str">
        <f t="shared" si="29"/>
        <v>&lt;0.05</v>
      </c>
      <c r="AH21" s="109">
        <f t="shared" si="30"/>
        <v>3400</v>
      </c>
      <c r="AI21" s="109">
        <f t="shared" si="31"/>
        <v>7600</v>
      </c>
      <c r="AJ21" s="106">
        <f t="shared" si="32"/>
        <v>3.3</v>
      </c>
      <c r="AK21" s="106" t="str">
        <f t="shared" si="33"/>
        <v>&lt;0.2</v>
      </c>
      <c r="AL21" s="106">
        <f t="shared" si="34"/>
        <v>1.1000000000000001</v>
      </c>
      <c r="AM21" s="106" t="str">
        <f t="shared" si="35"/>
        <v>&lt;0.2</v>
      </c>
      <c r="AN21" s="111">
        <f t="shared" si="36"/>
        <v>0.4</v>
      </c>
      <c r="AO21" s="106" t="str">
        <f t="shared" si="37"/>
        <v>&lt;0.02</v>
      </c>
      <c r="AP21" s="111" t="s">
        <v>121</v>
      </c>
      <c r="AQ21" s="106">
        <f t="shared" si="38"/>
        <v>1.7</v>
      </c>
      <c r="AR21" s="109">
        <f t="shared" si="39"/>
        <v>280</v>
      </c>
      <c r="AS21" s="109">
        <f t="shared" si="40"/>
        <v>130</v>
      </c>
      <c r="AT21" s="109" t="str">
        <f t="shared" si="41"/>
        <v>&lt;0.05</v>
      </c>
      <c r="AU21" s="108">
        <f t="shared" si="42"/>
        <v>4</v>
      </c>
      <c r="AV21" s="110" t="str">
        <f t="shared" si="43"/>
        <v>&lt;0.2</v>
      </c>
      <c r="AW21" s="108">
        <f t="shared" si="44"/>
        <v>9.8000000000000007</v>
      </c>
      <c r="AX21" s="108" t="str">
        <f t="shared" si="45"/>
        <v>&lt;0.2</v>
      </c>
      <c r="AY21" s="111" t="str">
        <f t="shared" si="46"/>
        <v>&lt;10</v>
      </c>
      <c r="AZ21" s="109">
        <v>1726004</v>
      </c>
      <c r="BA21" s="106" t="str">
        <f t="shared" si="47"/>
        <v>&lt;0.2</v>
      </c>
      <c r="BB21" s="106">
        <f t="shared" si="48"/>
        <v>1.1000000000000001</v>
      </c>
      <c r="BC21" s="106" t="str">
        <f t="shared" si="49"/>
        <v>&lt;0.2</v>
      </c>
      <c r="BD21" s="111">
        <f t="shared" si="50"/>
        <v>0.25</v>
      </c>
      <c r="BE21" s="106" t="str">
        <f t="shared" si="51"/>
        <v>&lt;0.02</v>
      </c>
      <c r="BF21" s="106" t="s">
        <v>122</v>
      </c>
      <c r="BG21" s="106">
        <f t="shared" si="52"/>
        <v>1.8</v>
      </c>
      <c r="BH21" s="109">
        <f t="shared" si="53"/>
        <v>29</v>
      </c>
      <c r="BI21" s="109">
        <f t="shared" si="54"/>
        <v>120</v>
      </c>
      <c r="BJ21" s="109" t="str">
        <f t="shared" si="55"/>
        <v>&lt;0.05</v>
      </c>
      <c r="BK21" s="112">
        <f t="shared" si="56"/>
        <v>3.9</v>
      </c>
      <c r="BL21" s="110" t="str">
        <f t="shared" si="57"/>
        <v>&lt;0.2</v>
      </c>
      <c r="BM21" s="109">
        <f t="shared" si="58"/>
        <v>10</v>
      </c>
      <c r="BN21" s="110" t="str">
        <f t="shared" si="59"/>
        <v>&lt;0.2</v>
      </c>
      <c r="BO21" s="113" t="str">
        <f t="shared" si="60"/>
        <v>&lt;10</v>
      </c>
    </row>
    <row r="22" spans="1:67" ht="27" customHeight="1" x14ac:dyDescent="0.4">
      <c r="A22" s="105" t="s">
        <v>123</v>
      </c>
      <c r="B22" s="106" t="str">
        <f t="shared" si="0"/>
        <v>Laguna Beach</v>
      </c>
      <c r="C22" s="260">
        <v>1726001</v>
      </c>
      <c r="D22" s="107">
        <f t="shared" si="1"/>
        <v>44348.455555555556</v>
      </c>
      <c r="E22" s="107"/>
      <c r="F22" s="108">
        <f t="shared" ref="F22:F27" si="63">VLOOKUP($C22, WaterQuality, 119, FALSE)</f>
        <v>1.44</v>
      </c>
      <c r="G22" s="108">
        <f t="shared" si="3"/>
        <v>7.86</v>
      </c>
      <c r="H22" s="109">
        <f t="shared" si="4"/>
        <v>8117.5</v>
      </c>
      <c r="I22" s="110">
        <f t="shared" si="5"/>
        <v>8.0299999999999994</v>
      </c>
      <c r="J22" s="110">
        <f t="shared" si="6"/>
        <v>20.69</v>
      </c>
      <c r="K22" s="109" t="str">
        <f t="shared" si="7"/>
        <v>&lt;9</v>
      </c>
      <c r="L22" s="109">
        <f t="shared" si="8"/>
        <v>140</v>
      </c>
      <c r="M22" s="109">
        <f t="shared" si="9"/>
        <v>20</v>
      </c>
      <c r="N22" s="109" t="str">
        <f t="shared" si="10"/>
        <v>&gt;=2800</v>
      </c>
      <c r="O22" s="110" t="str">
        <f t="shared" si="11"/>
        <v>&lt;0.1</v>
      </c>
      <c r="P22" s="110">
        <f t="shared" si="12"/>
        <v>0.35</v>
      </c>
      <c r="Q22" s="111">
        <f t="shared" si="13"/>
        <v>0.11</v>
      </c>
      <c r="R22" s="110">
        <f t="shared" si="14"/>
        <v>0.66</v>
      </c>
      <c r="S22" s="110">
        <f t="shared" si="15"/>
        <v>0.7</v>
      </c>
      <c r="T22" s="108" t="str">
        <f t="shared" si="16"/>
        <v>&lt;5.6</v>
      </c>
      <c r="U22" s="108">
        <f t="shared" si="17"/>
        <v>0.6</v>
      </c>
      <c r="V22" s="110">
        <f t="shared" si="18"/>
        <v>7.97</v>
      </c>
      <c r="W22" s="109">
        <f t="shared" si="19"/>
        <v>8200</v>
      </c>
      <c r="X22" s="110">
        <f t="shared" si="20"/>
        <v>0.66</v>
      </c>
      <c r="Y22" s="108" t="str">
        <f t="shared" si="21"/>
        <v>&lt;2</v>
      </c>
      <c r="Z22" s="110" t="str">
        <f t="shared" si="22"/>
        <v>&lt;2</v>
      </c>
      <c r="AA22" s="110" t="str">
        <f t="shared" si="23"/>
        <v>&lt;2</v>
      </c>
      <c r="AB22" s="108" t="str">
        <f t="shared" si="24"/>
        <v>&lt;1</v>
      </c>
      <c r="AC22" s="108" t="str">
        <f t="shared" si="25"/>
        <v>&lt;5</v>
      </c>
      <c r="AD22" s="106">
        <f t="shared" si="26"/>
        <v>1500</v>
      </c>
      <c r="AE22" s="106">
        <f t="shared" si="27"/>
        <v>1</v>
      </c>
      <c r="AF22" s="109">
        <f t="shared" si="28"/>
        <v>2480</v>
      </c>
      <c r="AG22" s="106" t="str">
        <f t="shared" si="29"/>
        <v>&lt;0.05</v>
      </c>
      <c r="AH22" s="109">
        <f t="shared" si="30"/>
        <v>2200</v>
      </c>
      <c r="AI22" s="109">
        <f t="shared" si="31"/>
        <v>5800</v>
      </c>
      <c r="AJ22" s="106">
        <f t="shared" si="32"/>
        <v>5.0999999999999996</v>
      </c>
      <c r="AK22" s="106" t="str">
        <f t="shared" si="33"/>
        <v>&lt;0.2</v>
      </c>
      <c r="AL22" s="112">
        <f t="shared" si="34"/>
        <v>2</v>
      </c>
      <c r="AM22" s="106" t="str">
        <f t="shared" si="35"/>
        <v>&lt;0.2</v>
      </c>
      <c r="AN22" s="111" t="str">
        <f t="shared" si="36"/>
        <v>&lt;0.2</v>
      </c>
      <c r="AO22" s="106" t="str">
        <f t="shared" si="37"/>
        <v>&lt;0.02</v>
      </c>
      <c r="AP22" s="111" t="str">
        <f>AN22</f>
        <v>&lt;0.2</v>
      </c>
      <c r="AQ22" s="112">
        <f t="shared" si="38"/>
        <v>2</v>
      </c>
      <c r="AR22" s="109" t="str">
        <f t="shared" si="39"/>
        <v>&lt;20</v>
      </c>
      <c r="AS22" s="109">
        <f t="shared" si="40"/>
        <v>30</v>
      </c>
      <c r="AT22" s="109" t="str">
        <f t="shared" si="41"/>
        <v>&lt;0.05</v>
      </c>
      <c r="AU22" s="108" t="str">
        <f t="shared" si="42"/>
        <v>&lt;2</v>
      </c>
      <c r="AV22" s="110" t="str">
        <f t="shared" si="43"/>
        <v>&lt;0.2</v>
      </c>
      <c r="AW22" s="108">
        <f t="shared" si="44"/>
        <v>4</v>
      </c>
      <c r="AX22" s="108" t="str">
        <f t="shared" si="45"/>
        <v>&lt;0.2</v>
      </c>
      <c r="AY22" s="111" t="str">
        <f t="shared" si="46"/>
        <v>&lt;10</v>
      </c>
      <c r="AZ22" s="109">
        <v>1726003</v>
      </c>
      <c r="BA22" s="106" t="str">
        <f t="shared" si="47"/>
        <v>&lt;0.2</v>
      </c>
      <c r="BB22" s="112">
        <f t="shared" si="48"/>
        <v>2</v>
      </c>
      <c r="BC22" s="106" t="str">
        <f t="shared" si="49"/>
        <v>&lt;0.2</v>
      </c>
      <c r="BD22" s="111" t="str">
        <f t="shared" si="50"/>
        <v>&lt;0.2</v>
      </c>
      <c r="BE22" s="106" t="str">
        <f t="shared" si="51"/>
        <v>&lt;0.02</v>
      </c>
      <c r="BF22" s="106" t="str">
        <f>BD22</f>
        <v>&lt;0.2</v>
      </c>
      <c r="BG22" s="106">
        <f t="shared" si="52"/>
        <v>2.2999999999999998</v>
      </c>
      <c r="BH22" s="109" t="str">
        <f t="shared" si="53"/>
        <v>&lt;20</v>
      </c>
      <c r="BI22" s="109">
        <f t="shared" si="54"/>
        <v>21</v>
      </c>
      <c r="BJ22" s="109" t="str">
        <f t="shared" si="55"/>
        <v>&lt;0.05</v>
      </c>
      <c r="BK22" s="112">
        <f t="shared" si="56"/>
        <v>2</v>
      </c>
      <c r="BL22" s="110" t="str">
        <f t="shared" si="57"/>
        <v>&lt;0.2</v>
      </c>
      <c r="BM22" s="108">
        <f t="shared" si="58"/>
        <v>4.0999999999999996</v>
      </c>
      <c r="BN22" s="110" t="str">
        <f t="shared" si="59"/>
        <v>&lt;0.2</v>
      </c>
      <c r="BO22" s="113" t="str">
        <f t="shared" si="60"/>
        <v>&lt;10</v>
      </c>
    </row>
    <row r="23" spans="1:67" ht="27" customHeight="1" x14ac:dyDescent="0.4">
      <c r="A23" s="105" t="s">
        <v>124</v>
      </c>
      <c r="B23" s="106" t="str">
        <f t="shared" si="0"/>
        <v>Laguna Niguel</v>
      </c>
      <c r="C23" s="260">
        <v>1721001</v>
      </c>
      <c r="D23" s="107">
        <f t="shared" si="1"/>
        <v>44343.326388888891</v>
      </c>
      <c r="E23" s="107"/>
      <c r="F23" s="108">
        <f t="shared" si="63"/>
        <v>7.31</v>
      </c>
      <c r="G23" s="108">
        <f t="shared" si="3"/>
        <v>7.82</v>
      </c>
      <c r="H23" s="109">
        <f t="shared" si="4"/>
        <v>4177</v>
      </c>
      <c r="I23" s="110">
        <f t="shared" si="5"/>
        <v>8.06</v>
      </c>
      <c r="J23" s="110">
        <f t="shared" si="6"/>
        <v>19.399999999999999</v>
      </c>
      <c r="K23" s="109">
        <f t="shared" si="7"/>
        <v>190</v>
      </c>
      <c r="L23" s="109">
        <f t="shared" si="8"/>
        <v>600</v>
      </c>
      <c r="M23" s="109">
        <f t="shared" si="9"/>
        <v>290</v>
      </c>
      <c r="N23" s="109" t="str">
        <f t="shared" si="10"/>
        <v>&gt;=22000</v>
      </c>
      <c r="O23" s="110" t="str">
        <f t="shared" si="11"/>
        <v>&lt;0.1</v>
      </c>
      <c r="P23" s="108">
        <f t="shared" si="12"/>
        <v>3.5</v>
      </c>
      <c r="Q23" s="111">
        <f t="shared" si="13"/>
        <v>0.13</v>
      </c>
      <c r="R23" s="110" t="str">
        <f t="shared" si="14"/>
        <v>&lt;0.4</v>
      </c>
      <c r="S23" s="110">
        <f t="shared" si="15"/>
        <v>0.87</v>
      </c>
      <c r="T23" s="108" t="str">
        <f t="shared" si="16"/>
        <v>&lt;5.6</v>
      </c>
      <c r="U23" s="110">
        <f t="shared" si="17"/>
        <v>0.8</v>
      </c>
      <c r="V23" s="110">
        <f t="shared" si="18"/>
        <v>7.98</v>
      </c>
      <c r="W23" s="109">
        <f t="shared" si="19"/>
        <v>3500</v>
      </c>
      <c r="X23" s="108">
        <f t="shared" si="20"/>
        <v>4.9000000000000004</v>
      </c>
      <c r="Y23" s="108" t="str">
        <f t="shared" si="21"/>
        <v>&lt;2</v>
      </c>
      <c r="Z23" s="110" t="str">
        <f t="shared" si="22"/>
        <v>&lt;2</v>
      </c>
      <c r="AA23" s="110" t="str">
        <f t="shared" si="23"/>
        <v>&lt;2</v>
      </c>
      <c r="AB23" s="108" t="str">
        <f t="shared" si="24"/>
        <v>&lt;1</v>
      </c>
      <c r="AC23" s="108" t="str">
        <f t="shared" si="25"/>
        <v>&lt;5</v>
      </c>
      <c r="AD23" s="106">
        <f t="shared" si="26"/>
        <v>380</v>
      </c>
      <c r="AE23" s="106">
        <f t="shared" si="27"/>
        <v>5</v>
      </c>
      <c r="AF23" s="109">
        <f t="shared" si="28"/>
        <v>1110</v>
      </c>
      <c r="AG23" s="106">
        <f t="shared" si="29"/>
        <v>9.8000000000000004E-2</v>
      </c>
      <c r="AH23" s="109">
        <f t="shared" si="30"/>
        <v>840</v>
      </c>
      <c r="AI23" s="109">
        <f t="shared" si="31"/>
        <v>2100</v>
      </c>
      <c r="AJ23" s="106">
        <f t="shared" si="32"/>
        <v>6.7</v>
      </c>
      <c r="AK23" s="106" t="str">
        <f t="shared" si="33"/>
        <v>&lt;0.2</v>
      </c>
      <c r="AL23" s="106">
        <f t="shared" si="34"/>
        <v>1.8</v>
      </c>
      <c r="AM23" s="111">
        <f t="shared" si="35"/>
        <v>0.69</v>
      </c>
      <c r="AN23" s="111">
        <f t="shared" si="36"/>
        <v>0.69</v>
      </c>
      <c r="AO23" s="106">
        <f t="shared" si="37"/>
        <v>0.2</v>
      </c>
      <c r="AP23" s="111">
        <f>AN23-AO23</f>
        <v>0.48999999999999994</v>
      </c>
      <c r="AQ23" s="106">
        <f t="shared" si="38"/>
        <v>5.0999999999999996</v>
      </c>
      <c r="AR23" s="109">
        <f t="shared" si="39"/>
        <v>77</v>
      </c>
      <c r="AS23" s="109">
        <f t="shared" si="40"/>
        <v>48</v>
      </c>
      <c r="AT23" s="109" t="str">
        <f t="shared" si="41"/>
        <v>&lt;0.05</v>
      </c>
      <c r="AU23" s="108">
        <f t="shared" si="42"/>
        <v>6.1</v>
      </c>
      <c r="AV23" s="110">
        <f t="shared" si="43"/>
        <v>0.52</v>
      </c>
      <c r="AW23" s="108">
        <f t="shared" si="44"/>
        <v>6.1</v>
      </c>
      <c r="AX23" s="108" t="str">
        <f t="shared" si="45"/>
        <v>&lt;0.2</v>
      </c>
      <c r="AY23" s="231">
        <f t="shared" si="46"/>
        <v>17</v>
      </c>
      <c r="AZ23" s="109">
        <v>1721007</v>
      </c>
      <c r="BA23" s="106" t="str">
        <f t="shared" si="47"/>
        <v>&lt;0.2</v>
      </c>
      <c r="BB23" s="106">
        <f t="shared" si="48"/>
        <v>1.8</v>
      </c>
      <c r="BC23" s="106">
        <f t="shared" si="49"/>
        <v>0.43</v>
      </c>
      <c r="BD23" s="111">
        <f t="shared" si="50"/>
        <v>0.47</v>
      </c>
      <c r="BE23" s="106">
        <f t="shared" si="51"/>
        <v>0.17</v>
      </c>
      <c r="BF23" s="111">
        <f>BD23-BE23</f>
        <v>0.29999999999999993</v>
      </c>
      <c r="BG23" s="106">
        <f t="shared" si="52"/>
        <v>4.7</v>
      </c>
      <c r="BH23" s="109">
        <f t="shared" si="53"/>
        <v>21</v>
      </c>
      <c r="BI23" s="109">
        <f t="shared" si="54"/>
        <v>12</v>
      </c>
      <c r="BJ23" s="109" t="str">
        <f t="shared" si="55"/>
        <v>&lt;0.05</v>
      </c>
      <c r="BK23" s="112">
        <f t="shared" si="56"/>
        <v>5.9</v>
      </c>
      <c r="BL23" s="110" t="str">
        <f t="shared" si="57"/>
        <v>&lt;0.2</v>
      </c>
      <c r="BM23" s="108">
        <f t="shared" si="58"/>
        <v>6</v>
      </c>
      <c r="BN23" s="110" t="str">
        <f t="shared" si="59"/>
        <v>&lt;0.2</v>
      </c>
      <c r="BO23" s="113">
        <f t="shared" si="60"/>
        <v>12</v>
      </c>
    </row>
    <row r="24" spans="1:67" ht="27" customHeight="1" x14ac:dyDescent="0.4">
      <c r="A24" s="105" t="s">
        <v>125</v>
      </c>
      <c r="B24" s="106" t="str">
        <f t="shared" si="0"/>
        <v>Laguna Niguel</v>
      </c>
      <c r="C24" s="260">
        <v>1721002</v>
      </c>
      <c r="D24" s="107">
        <f t="shared" si="1"/>
        <v>44343.372916666667</v>
      </c>
      <c r="E24" s="107" t="s">
        <v>126</v>
      </c>
      <c r="F24" s="108" t="str">
        <f t="shared" si="63"/>
        <v>NA</v>
      </c>
      <c r="G24" s="108">
        <f t="shared" si="3"/>
        <v>8.01</v>
      </c>
      <c r="H24" s="109">
        <f t="shared" si="4"/>
        <v>7391</v>
      </c>
      <c r="I24" s="110">
        <f t="shared" si="5"/>
        <v>7.73</v>
      </c>
      <c r="J24" s="110">
        <f t="shared" si="6"/>
        <v>18.8</v>
      </c>
      <c r="K24" s="109">
        <f t="shared" si="7"/>
        <v>50</v>
      </c>
      <c r="L24" s="109">
        <f t="shared" si="8"/>
        <v>770</v>
      </c>
      <c r="M24" s="109">
        <f t="shared" si="9"/>
        <v>30</v>
      </c>
      <c r="N24" s="109" t="str">
        <f t="shared" si="10"/>
        <v>&gt;=2500</v>
      </c>
      <c r="O24" s="110">
        <f t="shared" si="11"/>
        <v>0.15</v>
      </c>
      <c r="P24" s="108">
        <f t="shared" si="12"/>
        <v>2.1</v>
      </c>
      <c r="Q24" s="111">
        <f t="shared" si="13"/>
        <v>0.2</v>
      </c>
      <c r="R24" s="108">
        <f t="shared" si="14"/>
        <v>1</v>
      </c>
      <c r="S24" s="108">
        <f t="shared" si="15"/>
        <v>1</v>
      </c>
      <c r="T24" s="108" t="str">
        <f t="shared" si="16"/>
        <v>&lt;5.6</v>
      </c>
      <c r="U24" s="110">
        <f t="shared" si="17"/>
        <v>0.6</v>
      </c>
      <c r="V24" s="110">
        <f t="shared" si="18"/>
        <v>7.7</v>
      </c>
      <c r="W24" s="109">
        <f t="shared" si="19"/>
        <v>5900</v>
      </c>
      <c r="X24" s="110">
        <f t="shared" si="20"/>
        <v>0.63</v>
      </c>
      <c r="Y24" s="108" t="str">
        <f t="shared" si="21"/>
        <v>&lt;2</v>
      </c>
      <c r="Z24" s="110" t="str">
        <f t="shared" si="22"/>
        <v>&lt;2</v>
      </c>
      <c r="AA24" s="110" t="str">
        <f t="shared" si="23"/>
        <v>&lt;2</v>
      </c>
      <c r="AB24" s="108" t="str">
        <f t="shared" si="24"/>
        <v>&lt;1</v>
      </c>
      <c r="AC24" s="108" t="str">
        <f t="shared" si="25"/>
        <v>&lt;5</v>
      </c>
      <c r="AD24" s="106">
        <f t="shared" si="26"/>
        <v>780</v>
      </c>
      <c r="AE24" s="106">
        <f t="shared" si="27"/>
        <v>7.5</v>
      </c>
      <c r="AF24" s="109">
        <f t="shared" si="28"/>
        <v>1280</v>
      </c>
      <c r="AG24" s="106" t="str">
        <f t="shared" si="29"/>
        <v>&lt;0.05</v>
      </c>
      <c r="AH24" s="109">
        <f t="shared" si="30"/>
        <v>1600</v>
      </c>
      <c r="AI24" s="109">
        <f t="shared" si="31"/>
        <v>3700</v>
      </c>
      <c r="AJ24" s="106">
        <f t="shared" si="32"/>
        <v>11</v>
      </c>
      <c r="AK24" s="106" t="str">
        <f t="shared" si="33"/>
        <v>&lt;0.2</v>
      </c>
      <c r="AL24" s="106">
        <f t="shared" si="34"/>
        <v>1.3</v>
      </c>
      <c r="AM24" s="111">
        <f t="shared" si="35"/>
        <v>0.31</v>
      </c>
      <c r="AN24" s="111" t="str">
        <f t="shared" si="36"/>
        <v>&lt;0.2</v>
      </c>
      <c r="AO24" s="106" t="str">
        <f t="shared" si="37"/>
        <v>&lt;0.02</v>
      </c>
      <c r="AP24" s="111" t="str">
        <f>AN24</f>
        <v>&lt;0.2</v>
      </c>
      <c r="AQ24" s="106">
        <f t="shared" si="38"/>
        <v>2.5</v>
      </c>
      <c r="AR24" s="109">
        <f t="shared" si="39"/>
        <v>67</v>
      </c>
      <c r="AS24" s="109">
        <f t="shared" si="40"/>
        <v>48</v>
      </c>
      <c r="AT24" s="109" t="str">
        <f t="shared" si="41"/>
        <v>&lt;0.05</v>
      </c>
      <c r="AU24" s="108">
        <f t="shared" si="42"/>
        <v>6.9</v>
      </c>
      <c r="AV24" s="110" t="str">
        <f t="shared" si="43"/>
        <v>&lt;0.2</v>
      </c>
      <c r="AW24" s="108">
        <f t="shared" si="44"/>
        <v>6</v>
      </c>
      <c r="AX24" s="108" t="str">
        <f t="shared" si="45"/>
        <v>&lt;0.2</v>
      </c>
      <c r="AY24" s="111" t="str">
        <f t="shared" si="46"/>
        <v>&lt;10</v>
      </c>
      <c r="AZ24" s="108">
        <v>1721008</v>
      </c>
      <c r="BA24" s="106" t="str">
        <f t="shared" si="47"/>
        <v>&lt;0.2</v>
      </c>
      <c r="BB24" s="106">
        <f t="shared" si="48"/>
        <v>1.4</v>
      </c>
      <c r="BC24" s="106">
        <f t="shared" si="49"/>
        <v>0.27</v>
      </c>
      <c r="BD24" s="111" t="str">
        <f t="shared" si="50"/>
        <v>&lt;0.2</v>
      </c>
      <c r="BE24" s="106" t="str">
        <f t="shared" si="51"/>
        <v>&lt;0.02</v>
      </c>
      <c r="BF24" s="106" t="str">
        <f>BD24</f>
        <v>&lt;0.2</v>
      </c>
      <c r="BG24" s="106">
        <f t="shared" si="52"/>
        <v>2.7</v>
      </c>
      <c r="BH24" s="109">
        <f t="shared" si="53"/>
        <v>28</v>
      </c>
      <c r="BI24" s="109">
        <f t="shared" si="54"/>
        <v>41</v>
      </c>
      <c r="BJ24" s="109" t="str">
        <f t="shared" si="55"/>
        <v>&lt;0.05</v>
      </c>
      <c r="BK24" s="112">
        <f t="shared" si="56"/>
        <v>7</v>
      </c>
      <c r="BL24" s="110" t="str">
        <f t="shared" si="57"/>
        <v>&lt;0.2</v>
      </c>
      <c r="BM24" s="108">
        <f t="shared" si="58"/>
        <v>5.9</v>
      </c>
      <c r="BN24" s="110" t="str">
        <f t="shared" si="59"/>
        <v>&lt;0.2</v>
      </c>
      <c r="BO24" s="113" t="str">
        <f t="shared" si="60"/>
        <v>&lt;10</v>
      </c>
    </row>
    <row r="25" spans="1:67" ht="27" customHeight="1" x14ac:dyDescent="0.4">
      <c r="A25" s="105" t="s">
        <v>127</v>
      </c>
      <c r="B25" s="106" t="str">
        <f t="shared" si="0"/>
        <v>Laguna Niguel</v>
      </c>
      <c r="C25" s="260">
        <v>1721003</v>
      </c>
      <c r="D25" s="107">
        <f t="shared" si="1"/>
        <v>44343.399305555555</v>
      </c>
      <c r="E25" s="107"/>
      <c r="F25" s="108">
        <f t="shared" si="63"/>
        <v>7.31</v>
      </c>
      <c r="G25" s="108">
        <f t="shared" si="3"/>
        <v>7.82</v>
      </c>
      <c r="H25" s="109">
        <f t="shared" si="4"/>
        <v>4177</v>
      </c>
      <c r="I25" s="110">
        <f t="shared" si="5"/>
        <v>8.06</v>
      </c>
      <c r="J25" s="110">
        <f t="shared" si="6"/>
        <v>19.399999999999999</v>
      </c>
      <c r="K25" s="109">
        <f t="shared" si="7"/>
        <v>2600</v>
      </c>
      <c r="L25" s="109">
        <f t="shared" si="8"/>
        <v>1270</v>
      </c>
      <c r="M25" s="109">
        <f t="shared" si="9"/>
        <v>6900</v>
      </c>
      <c r="N25" s="109" t="str">
        <f t="shared" si="10"/>
        <v>&gt;=11700</v>
      </c>
      <c r="O25" s="110">
        <f t="shared" si="11"/>
        <v>0.2</v>
      </c>
      <c r="P25" s="108">
        <f t="shared" si="12"/>
        <v>7.1</v>
      </c>
      <c r="Q25" s="111">
        <f t="shared" si="13"/>
        <v>0.28000000000000003</v>
      </c>
      <c r="R25" s="108">
        <f t="shared" si="14"/>
        <v>1.1000000000000001</v>
      </c>
      <c r="S25" s="108">
        <f t="shared" si="15"/>
        <v>1.2</v>
      </c>
      <c r="T25" s="108" t="str">
        <f t="shared" si="16"/>
        <v>&lt;5.6</v>
      </c>
      <c r="U25" s="108" t="str">
        <f t="shared" si="17"/>
        <v>&lt;0.6</v>
      </c>
      <c r="V25" s="110">
        <f t="shared" si="18"/>
        <v>7.91</v>
      </c>
      <c r="W25" s="109">
        <f t="shared" si="19"/>
        <v>3700</v>
      </c>
      <c r="X25" s="110">
        <f t="shared" si="20"/>
        <v>0.59</v>
      </c>
      <c r="Y25" s="108" t="str">
        <f t="shared" si="21"/>
        <v>&lt;2</v>
      </c>
      <c r="Z25" s="110" t="str">
        <f t="shared" si="22"/>
        <v>&lt;2</v>
      </c>
      <c r="AA25" s="110" t="str">
        <f t="shared" si="23"/>
        <v>&lt;2</v>
      </c>
      <c r="AB25" s="108" t="str">
        <f t="shared" si="24"/>
        <v>&lt;1</v>
      </c>
      <c r="AC25" s="108" t="str">
        <f t="shared" si="25"/>
        <v>&lt;5</v>
      </c>
      <c r="AD25" s="106">
        <f t="shared" si="26"/>
        <v>390</v>
      </c>
      <c r="AE25" s="106">
        <f t="shared" si="27"/>
        <v>7.5</v>
      </c>
      <c r="AF25" s="109">
        <f t="shared" si="28"/>
        <v>949</v>
      </c>
      <c r="AG25" s="106" t="str">
        <f t="shared" si="29"/>
        <v>&lt;0.05</v>
      </c>
      <c r="AH25" s="109">
        <f t="shared" si="30"/>
        <v>950</v>
      </c>
      <c r="AI25" s="109">
        <f t="shared" si="31"/>
        <v>2100</v>
      </c>
      <c r="AJ25" s="106">
        <f t="shared" si="32"/>
        <v>9.4</v>
      </c>
      <c r="AK25" s="106" t="str">
        <f t="shared" si="33"/>
        <v>&lt;0.2</v>
      </c>
      <c r="AL25" s="106">
        <f t="shared" si="34"/>
        <v>1.5</v>
      </c>
      <c r="AM25" s="111">
        <f t="shared" si="35"/>
        <v>0.4</v>
      </c>
      <c r="AN25" s="111">
        <f t="shared" si="36"/>
        <v>0.31</v>
      </c>
      <c r="AO25" s="106">
        <f t="shared" si="37"/>
        <v>8.5999999999999993E-2</v>
      </c>
      <c r="AP25" s="111">
        <f>AN25-AO25</f>
        <v>0.224</v>
      </c>
      <c r="AQ25" s="106">
        <f t="shared" si="38"/>
        <v>7.9</v>
      </c>
      <c r="AR25" s="109">
        <f t="shared" si="39"/>
        <v>57</v>
      </c>
      <c r="AS25" s="109">
        <f t="shared" si="40"/>
        <v>71</v>
      </c>
      <c r="AT25" s="109" t="str">
        <f t="shared" si="41"/>
        <v>&lt;0.05</v>
      </c>
      <c r="AU25" s="108">
        <f t="shared" si="42"/>
        <v>6.9</v>
      </c>
      <c r="AV25" s="110" t="str">
        <f t="shared" si="43"/>
        <v>&lt;0.2</v>
      </c>
      <c r="AW25" s="108">
        <f t="shared" si="44"/>
        <v>6.9</v>
      </c>
      <c r="AX25" s="108" t="str">
        <f t="shared" si="45"/>
        <v>&lt;0.2</v>
      </c>
      <c r="AY25" s="231">
        <f t="shared" si="46"/>
        <v>10</v>
      </c>
      <c r="AZ25" s="109">
        <v>1721009</v>
      </c>
      <c r="BA25" s="106" t="str">
        <f t="shared" si="47"/>
        <v>&lt;0.2</v>
      </c>
      <c r="BB25" s="106">
        <f t="shared" si="48"/>
        <v>1.6</v>
      </c>
      <c r="BC25" s="106">
        <f t="shared" si="49"/>
        <v>0.41</v>
      </c>
      <c r="BD25" s="111">
        <f t="shared" si="50"/>
        <v>0.52</v>
      </c>
      <c r="BE25" s="111">
        <f t="shared" si="51"/>
        <v>0.1</v>
      </c>
      <c r="BF25" s="106">
        <f>BD25-BE25</f>
        <v>0.42000000000000004</v>
      </c>
      <c r="BG25" s="106">
        <f t="shared" si="52"/>
        <v>8.6</v>
      </c>
      <c r="BH25" s="109">
        <f t="shared" si="53"/>
        <v>23</v>
      </c>
      <c r="BI25" s="109">
        <f t="shared" si="54"/>
        <v>68</v>
      </c>
      <c r="BJ25" s="109" t="str">
        <f t="shared" si="55"/>
        <v>&lt;0.05</v>
      </c>
      <c r="BK25" s="112">
        <f t="shared" si="56"/>
        <v>7.2</v>
      </c>
      <c r="BL25" s="110" t="str">
        <f t="shared" si="57"/>
        <v>&lt;0.2</v>
      </c>
      <c r="BM25" s="108">
        <f t="shared" si="58"/>
        <v>6.9</v>
      </c>
      <c r="BN25" s="110" t="str">
        <f t="shared" si="59"/>
        <v>&lt;0.2</v>
      </c>
      <c r="BO25" s="113">
        <f t="shared" si="60"/>
        <v>11</v>
      </c>
    </row>
    <row r="26" spans="1:67" ht="27" customHeight="1" x14ac:dyDescent="0.4">
      <c r="A26" s="105" t="s">
        <v>128</v>
      </c>
      <c r="B26" s="106" t="str">
        <f t="shared" si="0"/>
        <v>Laguna Niguel</v>
      </c>
      <c r="C26" s="260">
        <v>1721004</v>
      </c>
      <c r="D26" s="107">
        <f t="shared" si="1"/>
        <v>44343.4375</v>
      </c>
      <c r="E26" s="107"/>
      <c r="F26" s="108">
        <f t="shared" si="63"/>
        <v>1.34</v>
      </c>
      <c r="G26" s="108">
        <f t="shared" si="3"/>
        <v>9</v>
      </c>
      <c r="H26" s="109">
        <f t="shared" si="4"/>
        <v>6957</v>
      </c>
      <c r="I26" s="110">
        <f t="shared" si="5"/>
        <v>7.98</v>
      </c>
      <c r="J26" s="110">
        <f t="shared" si="6"/>
        <v>20.399999999999999</v>
      </c>
      <c r="K26" s="109">
        <f t="shared" si="7"/>
        <v>50</v>
      </c>
      <c r="L26" s="109">
        <f t="shared" si="8"/>
        <v>390</v>
      </c>
      <c r="M26" s="109">
        <f t="shared" si="9"/>
        <v>70</v>
      </c>
      <c r="N26" s="109" t="str">
        <f t="shared" si="10"/>
        <v>&gt;=520</v>
      </c>
      <c r="O26" s="110">
        <f t="shared" si="11"/>
        <v>0.1</v>
      </c>
      <c r="P26" s="108">
        <f t="shared" si="12"/>
        <v>1.3</v>
      </c>
      <c r="Q26" s="111">
        <f t="shared" si="13"/>
        <v>9.7000000000000003E-2</v>
      </c>
      <c r="R26" s="110">
        <f t="shared" si="14"/>
        <v>0.6</v>
      </c>
      <c r="S26" s="110">
        <f t="shared" si="15"/>
        <v>0.72</v>
      </c>
      <c r="T26" s="108" t="str">
        <f t="shared" si="16"/>
        <v>&lt;5.6</v>
      </c>
      <c r="U26" s="108" t="str">
        <f t="shared" si="17"/>
        <v>&lt;0.6</v>
      </c>
      <c r="V26" s="110">
        <f t="shared" si="18"/>
        <v>7.92</v>
      </c>
      <c r="W26" s="109">
        <f t="shared" si="19"/>
        <v>5700</v>
      </c>
      <c r="X26" s="110">
        <f t="shared" si="20"/>
        <v>0.5</v>
      </c>
      <c r="Y26" s="108" t="str">
        <f t="shared" si="21"/>
        <v>&lt;2</v>
      </c>
      <c r="Z26" s="110" t="str">
        <f t="shared" si="22"/>
        <v>&lt;2</v>
      </c>
      <c r="AA26" s="110" t="str">
        <f t="shared" si="23"/>
        <v>&lt;2</v>
      </c>
      <c r="AB26" s="108" t="str">
        <f t="shared" si="24"/>
        <v>&lt;1</v>
      </c>
      <c r="AC26" s="108" t="str">
        <f t="shared" si="25"/>
        <v>&lt;5</v>
      </c>
      <c r="AD26" s="106">
        <f t="shared" si="26"/>
        <v>540</v>
      </c>
      <c r="AE26" s="106">
        <f t="shared" si="27"/>
        <v>4</v>
      </c>
      <c r="AF26" s="109">
        <f t="shared" si="28"/>
        <v>2230</v>
      </c>
      <c r="AG26" s="106" t="str">
        <f t="shared" si="29"/>
        <v>&lt;0.05</v>
      </c>
      <c r="AH26" s="109">
        <f t="shared" si="30"/>
        <v>2100</v>
      </c>
      <c r="AI26" s="109">
        <f t="shared" si="31"/>
        <v>4000</v>
      </c>
      <c r="AJ26" s="106">
        <f t="shared" si="32"/>
        <v>7.5</v>
      </c>
      <c r="AK26" s="106" t="str">
        <f t="shared" si="33"/>
        <v>&lt;0.2</v>
      </c>
      <c r="AL26" s="112">
        <f t="shared" si="34"/>
        <v>1</v>
      </c>
      <c r="AM26" s="106">
        <f t="shared" si="35"/>
        <v>8.5</v>
      </c>
      <c r="AN26" s="111">
        <f t="shared" si="36"/>
        <v>0.39</v>
      </c>
      <c r="AO26" s="106" t="str">
        <f t="shared" si="37"/>
        <v>&lt;0.02</v>
      </c>
      <c r="AP26" s="111" t="s">
        <v>129</v>
      </c>
      <c r="AQ26" s="106">
        <f t="shared" si="38"/>
        <v>1.7</v>
      </c>
      <c r="AR26" s="109">
        <f t="shared" si="39"/>
        <v>52</v>
      </c>
      <c r="AS26" s="109">
        <f t="shared" si="40"/>
        <v>560</v>
      </c>
      <c r="AT26" s="109" t="str">
        <f t="shared" si="41"/>
        <v>&lt;0.05</v>
      </c>
      <c r="AU26" s="109">
        <f t="shared" si="42"/>
        <v>50</v>
      </c>
      <c r="AV26" s="110" t="str">
        <f t="shared" si="43"/>
        <v>&lt;0.2</v>
      </c>
      <c r="AW26" s="108">
        <f t="shared" si="44"/>
        <v>4.7</v>
      </c>
      <c r="AX26" s="108" t="str">
        <f t="shared" si="45"/>
        <v>&lt;0.2</v>
      </c>
      <c r="AY26" s="231">
        <f t="shared" si="46"/>
        <v>22</v>
      </c>
      <c r="AZ26" s="109">
        <v>1721010</v>
      </c>
      <c r="BA26" s="106" t="str">
        <f t="shared" si="47"/>
        <v>&lt;0.2</v>
      </c>
      <c r="BB26" s="106">
        <f t="shared" si="48"/>
        <v>0.97</v>
      </c>
      <c r="BC26" s="106">
        <f t="shared" si="49"/>
        <v>5.9</v>
      </c>
      <c r="BD26" s="111">
        <f t="shared" si="50"/>
        <v>0.35</v>
      </c>
      <c r="BE26" s="106" t="str">
        <f t="shared" si="51"/>
        <v>&lt;0.02</v>
      </c>
      <c r="BF26" s="106" t="s">
        <v>103</v>
      </c>
      <c r="BG26" s="112">
        <f t="shared" si="52"/>
        <v>2</v>
      </c>
      <c r="BH26" s="109" t="str">
        <f t="shared" si="53"/>
        <v>&lt;20</v>
      </c>
      <c r="BI26" s="109">
        <f t="shared" si="54"/>
        <v>550</v>
      </c>
      <c r="BJ26" s="109" t="str">
        <f t="shared" si="55"/>
        <v>&lt;0.05</v>
      </c>
      <c r="BK26" s="231">
        <f t="shared" si="56"/>
        <v>50</v>
      </c>
      <c r="BL26" s="110" t="str">
        <f t="shared" si="57"/>
        <v>&lt;0.2</v>
      </c>
      <c r="BM26" s="108">
        <f t="shared" si="58"/>
        <v>4.8</v>
      </c>
      <c r="BN26" s="110" t="str">
        <f t="shared" si="59"/>
        <v>&lt;0.2</v>
      </c>
      <c r="BO26" s="113">
        <f t="shared" si="60"/>
        <v>17</v>
      </c>
    </row>
    <row r="27" spans="1:67" ht="27" customHeight="1" x14ac:dyDescent="0.4">
      <c r="A27" s="105" t="s">
        <v>130</v>
      </c>
      <c r="B27" s="106" t="str">
        <f t="shared" si="0"/>
        <v>Laguna Niguel</v>
      </c>
      <c r="C27" s="260">
        <v>1721005</v>
      </c>
      <c r="D27" s="107">
        <f t="shared" si="1"/>
        <v>44343.46597222222</v>
      </c>
      <c r="E27" s="107"/>
      <c r="F27" s="108">
        <f t="shared" si="63"/>
        <v>1.88</v>
      </c>
      <c r="G27" s="108">
        <f t="shared" si="3"/>
        <v>7.36</v>
      </c>
      <c r="H27" s="109">
        <f t="shared" si="4"/>
        <v>5106</v>
      </c>
      <c r="I27" s="110">
        <f t="shared" si="5"/>
        <v>7.79</v>
      </c>
      <c r="J27" s="110">
        <f t="shared" si="6"/>
        <v>19.8</v>
      </c>
      <c r="K27" s="109">
        <f t="shared" si="7"/>
        <v>3100</v>
      </c>
      <c r="L27" s="109">
        <f t="shared" si="8"/>
        <v>710</v>
      </c>
      <c r="M27" s="109">
        <f t="shared" si="9"/>
        <v>4000</v>
      </c>
      <c r="N27" s="109" t="str">
        <f t="shared" si="10"/>
        <v>&gt;=5300</v>
      </c>
      <c r="O27" s="110" t="str">
        <f t="shared" si="11"/>
        <v>&lt;0.1</v>
      </c>
      <c r="P27" s="108">
        <f t="shared" si="12"/>
        <v>1.4</v>
      </c>
      <c r="Q27" s="111">
        <f t="shared" si="13"/>
        <v>9.2999999999999999E-2</v>
      </c>
      <c r="R27" s="110">
        <f t="shared" si="14"/>
        <v>0.48</v>
      </c>
      <c r="S27" s="110">
        <f t="shared" si="15"/>
        <v>0.69</v>
      </c>
      <c r="T27" s="108" t="str">
        <f t="shared" si="16"/>
        <v>&lt;5.6</v>
      </c>
      <c r="U27" s="108">
        <f t="shared" si="17"/>
        <v>4.9000000000000004</v>
      </c>
      <c r="V27" s="110">
        <f t="shared" si="18"/>
        <v>7.81</v>
      </c>
      <c r="W27" s="109">
        <f t="shared" si="19"/>
        <v>4200</v>
      </c>
      <c r="X27" s="110">
        <f t="shared" si="20"/>
        <v>0.92</v>
      </c>
      <c r="Y27" s="108" t="str">
        <f t="shared" si="21"/>
        <v>&lt;2</v>
      </c>
      <c r="Z27" s="110" t="str">
        <f t="shared" si="22"/>
        <v>&lt;2</v>
      </c>
      <c r="AA27" s="110" t="str">
        <f t="shared" si="23"/>
        <v>&lt;2</v>
      </c>
      <c r="AB27" s="108" t="str">
        <f t="shared" si="24"/>
        <v>&lt;1</v>
      </c>
      <c r="AC27" s="108" t="str">
        <f t="shared" si="25"/>
        <v>&lt;5</v>
      </c>
      <c r="AD27" s="106">
        <f t="shared" si="26"/>
        <v>390</v>
      </c>
      <c r="AE27" s="106">
        <f t="shared" si="27"/>
        <v>1</v>
      </c>
      <c r="AF27" s="109">
        <f t="shared" si="28"/>
        <v>1180</v>
      </c>
      <c r="AG27" s="106" t="str">
        <f t="shared" si="29"/>
        <v>&lt;0.05</v>
      </c>
      <c r="AH27" s="109">
        <f t="shared" si="30"/>
        <v>1200</v>
      </c>
      <c r="AI27" s="109">
        <f t="shared" si="31"/>
        <v>2500</v>
      </c>
      <c r="AJ27" s="106">
        <f t="shared" si="32"/>
        <v>3.2</v>
      </c>
      <c r="AK27" s="106" t="str">
        <f t="shared" si="33"/>
        <v>&lt;0.2</v>
      </c>
      <c r="AL27" s="106">
        <f t="shared" si="34"/>
        <v>7.6</v>
      </c>
      <c r="AM27" s="106">
        <f t="shared" si="35"/>
        <v>1.6</v>
      </c>
      <c r="AN27" s="111">
        <f t="shared" si="36"/>
        <v>0.21</v>
      </c>
      <c r="AO27" s="106" t="str">
        <f t="shared" si="37"/>
        <v>&lt;0.02</v>
      </c>
      <c r="AP27" s="111" t="s">
        <v>131</v>
      </c>
      <c r="AQ27" s="106">
        <f t="shared" si="38"/>
        <v>2.2999999999999998</v>
      </c>
      <c r="AR27" s="109">
        <f t="shared" si="39"/>
        <v>270</v>
      </c>
      <c r="AS27" s="109">
        <f t="shared" si="40"/>
        <v>210</v>
      </c>
      <c r="AT27" s="109" t="str">
        <f t="shared" si="41"/>
        <v>&lt;0.05</v>
      </c>
      <c r="AU27" s="109">
        <f t="shared" si="42"/>
        <v>11</v>
      </c>
      <c r="AV27" s="110" t="str">
        <f t="shared" si="43"/>
        <v>&lt;0.2</v>
      </c>
      <c r="AW27" s="108">
        <f t="shared" si="44"/>
        <v>1.5</v>
      </c>
      <c r="AX27" s="108" t="str">
        <f t="shared" si="45"/>
        <v>&lt;0.2</v>
      </c>
      <c r="AY27" s="111" t="str">
        <f t="shared" si="46"/>
        <v>&lt;10</v>
      </c>
      <c r="AZ27" s="109">
        <v>1721011</v>
      </c>
      <c r="BA27" s="106" t="str">
        <f t="shared" si="47"/>
        <v>&lt;0.2</v>
      </c>
      <c r="BB27" s="106">
        <f t="shared" si="48"/>
        <v>6.5</v>
      </c>
      <c r="BC27" s="106">
        <f t="shared" si="49"/>
        <v>1.5</v>
      </c>
      <c r="BD27" s="111" t="str">
        <f t="shared" si="50"/>
        <v>&lt;0.2</v>
      </c>
      <c r="BE27" s="106" t="str">
        <f t="shared" si="51"/>
        <v>&lt;0.02</v>
      </c>
      <c r="BF27" s="111" t="str">
        <f>BD27</f>
        <v>&lt;0.2</v>
      </c>
      <c r="BG27" s="106">
        <f t="shared" si="52"/>
        <v>2.1</v>
      </c>
      <c r="BH27" s="109" t="str">
        <f t="shared" si="53"/>
        <v>&lt;20</v>
      </c>
      <c r="BI27" s="109">
        <f t="shared" si="54"/>
        <v>160</v>
      </c>
      <c r="BJ27" s="109" t="str">
        <f t="shared" si="55"/>
        <v>&lt;0.05</v>
      </c>
      <c r="BK27" s="231">
        <f t="shared" si="56"/>
        <v>11</v>
      </c>
      <c r="BL27" s="110" t="str">
        <f t="shared" si="57"/>
        <v>&lt;0.2</v>
      </c>
      <c r="BM27" s="108">
        <f t="shared" si="58"/>
        <v>1.5</v>
      </c>
      <c r="BN27" s="110" t="str">
        <f t="shared" si="59"/>
        <v>&lt;0.2</v>
      </c>
      <c r="BO27" s="113" t="str">
        <f t="shared" si="60"/>
        <v>&lt;10</v>
      </c>
    </row>
    <row r="28" spans="1:67" ht="27" customHeight="1" x14ac:dyDescent="0.4">
      <c r="A28" s="105" t="s">
        <v>132</v>
      </c>
      <c r="B28" s="106" t="str">
        <f t="shared" si="0"/>
        <v>Laguna Niguel</v>
      </c>
      <c r="C28" s="260">
        <v>1721006</v>
      </c>
      <c r="D28" s="107">
        <f t="shared" si="1"/>
        <v>44343.488888888889</v>
      </c>
      <c r="E28" s="107"/>
      <c r="F28" s="135" t="s">
        <v>120</v>
      </c>
      <c r="G28" s="108">
        <f t="shared" si="3"/>
        <v>6.02</v>
      </c>
      <c r="H28" s="109">
        <f t="shared" si="4"/>
        <v>3652</v>
      </c>
      <c r="I28" s="110">
        <f t="shared" si="5"/>
        <v>7.57</v>
      </c>
      <c r="J28" s="110">
        <f t="shared" si="6"/>
        <v>21.3</v>
      </c>
      <c r="K28" s="109" t="str">
        <f t="shared" si="7"/>
        <v>&lt;9</v>
      </c>
      <c r="L28" s="109">
        <f t="shared" si="8"/>
        <v>40</v>
      </c>
      <c r="M28" s="109">
        <f t="shared" si="9"/>
        <v>20</v>
      </c>
      <c r="N28" s="109" t="str">
        <f t="shared" si="10"/>
        <v>&gt;=440</v>
      </c>
      <c r="O28" s="110">
        <f t="shared" si="11"/>
        <v>0.31</v>
      </c>
      <c r="P28" s="110">
        <f t="shared" si="12"/>
        <v>0.17</v>
      </c>
      <c r="Q28" s="111">
        <f t="shared" si="13"/>
        <v>0.14000000000000001</v>
      </c>
      <c r="R28" s="110">
        <f t="shared" si="14"/>
        <v>0.42</v>
      </c>
      <c r="S28" s="110">
        <f t="shared" si="15"/>
        <v>0.78</v>
      </c>
      <c r="T28" s="108" t="str">
        <f t="shared" si="16"/>
        <v>&lt;5.9</v>
      </c>
      <c r="U28" s="108">
        <f t="shared" si="17"/>
        <v>0.7</v>
      </c>
      <c r="V28" s="110">
        <f t="shared" si="18"/>
        <v>7.65</v>
      </c>
      <c r="W28" s="109">
        <f t="shared" si="19"/>
        <v>3000</v>
      </c>
      <c r="X28" s="110">
        <f t="shared" si="20"/>
        <v>0.44</v>
      </c>
      <c r="Y28" s="108" t="str">
        <f t="shared" si="21"/>
        <v>&lt;2</v>
      </c>
      <c r="Z28" s="110" t="str">
        <f t="shared" si="22"/>
        <v>&lt;2</v>
      </c>
      <c r="AA28" s="110" t="str">
        <f t="shared" si="23"/>
        <v>&lt;2</v>
      </c>
      <c r="AB28" s="108" t="str">
        <f t="shared" si="24"/>
        <v>&lt;1</v>
      </c>
      <c r="AC28" s="108" t="str">
        <f t="shared" si="25"/>
        <v>&lt;5</v>
      </c>
      <c r="AD28" s="106">
        <f t="shared" si="26"/>
        <v>270</v>
      </c>
      <c r="AE28" s="106">
        <f t="shared" si="27"/>
        <v>1</v>
      </c>
      <c r="AF28" s="109" t="str">
        <f t="shared" si="28"/>
        <v>NA</v>
      </c>
      <c r="AG28" s="106" t="str">
        <f t="shared" si="29"/>
        <v>&lt;0.05</v>
      </c>
      <c r="AH28" s="109">
        <f t="shared" si="30"/>
        <v>680</v>
      </c>
      <c r="AI28" s="109">
        <f t="shared" si="31"/>
        <v>1700</v>
      </c>
      <c r="AJ28" s="106">
        <f t="shared" si="32"/>
        <v>1.7</v>
      </c>
      <c r="AK28" s="106" t="str">
        <f t="shared" si="33"/>
        <v>&lt;0.2</v>
      </c>
      <c r="AL28" s="106">
        <f t="shared" si="34"/>
        <v>6.1</v>
      </c>
      <c r="AM28" s="106">
        <f t="shared" si="35"/>
        <v>0.63</v>
      </c>
      <c r="AN28" s="111" t="str">
        <f t="shared" si="36"/>
        <v>&lt;0.2</v>
      </c>
      <c r="AO28" s="106" t="str">
        <f t="shared" si="37"/>
        <v>&lt;0.02</v>
      </c>
      <c r="AP28" s="111" t="str">
        <f>AN28</f>
        <v>&lt;0.2</v>
      </c>
      <c r="AQ28" s="106">
        <f t="shared" si="38"/>
        <v>1.1000000000000001</v>
      </c>
      <c r="AR28" s="109">
        <f t="shared" si="39"/>
        <v>45</v>
      </c>
      <c r="AS28" s="109">
        <f t="shared" si="40"/>
        <v>180</v>
      </c>
      <c r="AT28" s="109" t="str">
        <f t="shared" si="41"/>
        <v>&lt;0.05</v>
      </c>
      <c r="AU28" s="108">
        <f t="shared" si="42"/>
        <v>3.5</v>
      </c>
      <c r="AV28" s="110" t="str">
        <f t="shared" si="43"/>
        <v>&lt;0.2</v>
      </c>
      <c r="AW28" s="108" t="str">
        <f t="shared" si="44"/>
        <v>&lt;0.4</v>
      </c>
      <c r="AX28" s="108" t="str">
        <f t="shared" si="45"/>
        <v>&lt;0.2</v>
      </c>
      <c r="AY28" s="111" t="str">
        <f t="shared" si="46"/>
        <v>&lt;10</v>
      </c>
      <c r="AZ28" s="109">
        <v>1721012</v>
      </c>
      <c r="BA28" s="106" t="str">
        <f t="shared" si="47"/>
        <v>&lt;0.2</v>
      </c>
      <c r="BB28" s="112">
        <f t="shared" si="48"/>
        <v>6</v>
      </c>
      <c r="BC28" s="106">
        <f t="shared" si="49"/>
        <v>0.41</v>
      </c>
      <c r="BD28" s="111" t="str">
        <f t="shared" si="50"/>
        <v>&lt;0.2</v>
      </c>
      <c r="BE28" s="106" t="str">
        <f t="shared" si="51"/>
        <v>&lt;0.02</v>
      </c>
      <c r="BF28" s="106" t="str">
        <f>BD28</f>
        <v>&lt;0.2</v>
      </c>
      <c r="BG28" s="111">
        <f t="shared" si="52"/>
        <v>0.59</v>
      </c>
      <c r="BH28" s="109">
        <f t="shared" si="53"/>
        <v>32</v>
      </c>
      <c r="BI28" s="109">
        <f t="shared" si="54"/>
        <v>180</v>
      </c>
      <c r="BJ28" s="109" t="str">
        <f t="shared" si="55"/>
        <v>&lt;0.05</v>
      </c>
      <c r="BK28" s="112">
        <f t="shared" si="56"/>
        <v>3.5</v>
      </c>
      <c r="BL28" s="110" t="str">
        <f t="shared" si="57"/>
        <v>&lt;0.2</v>
      </c>
      <c r="BM28" s="109" t="str">
        <f t="shared" si="58"/>
        <v>&lt;0.4</v>
      </c>
      <c r="BN28" s="110" t="str">
        <f t="shared" si="59"/>
        <v>&lt;0.2</v>
      </c>
      <c r="BO28" s="113" t="str">
        <f t="shared" si="60"/>
        <v>&lt;10</v>
      </c>
    </row>
    <row r="29" spans="1:67" ht="27" customHeight="1" x14ac:dyDescent="0.4">
      <c r="A29" s="105" t="s">
        <v>133</v>
      </c>
      <c r="B29" s="106" t="str">
        <f t="shared" si="0"/>
        <v>Laguna Woods</v>
      </c>
      <c r="C29" s="260">
        <v>1693002</v>
      </c>
      <c r="D29" s="107">
        <f t="shared" si="1"/>
        <v>44341.495138888888</v>
      </c>
      <c r="E29" s="107"/>
      <c r="F29" s="108">
        <f>VLOOKUP($C29, WaterQuality, 119, FALSE)</f>
        <v>13.7</v>
      </c>
      <c r="G29" s="108">
        <f t="shared" si="3"/>
        <v>7.65</v>
      </c>
      <c r="H29" s="109">
        <f t="shared" si="4"/>
        <v>4110</v>
      </c>
      <c r="I29" s="110">
        <f t="shared" si="5"/>
        <v>7.43</v>
      </c>
      <c r="J29" s="110">
        <f t="shared" si="6"/>
        <v>23.49</v>
      </c>
      <c r="K29" s="109">
        <f t="shared" si="7"/>
        <v>200</v>
      </c>
      <c r="L29" s="109">
        <f t="shared" si="8"/>
        <v>11300</v>
      </c>
      <c r="M29" s="109">
        <f t="shared" si="9"/>
        <v>200</v>
      </c>
      <c r="N29" s="109" t="str">
        <f t="shared" si="10"/>
        <v>&gt;=22000</v>
      </c>
      <c r="O29" s="110">
        <f t="shared" si="11"/>
        <v>0.39</v>
      </c>
      <c r="P29" s="109">
        <f t="shared" si="12"/>
        <v>13</v>
      </c>
      <c r="Q29" s="111">
        <f t="shared" si="13"/>
        <v>1.6</v>
      </c>
      <c r="R29" s="108">
        <f t="shared" si="14"/>
        <v>2.6</v>
      </c>
      <c r="S29" s="108">
        <f t="shared" si="15"/>
        <v>6.5</v>
      </c>
      <c r="T29" s="109">
        <f t="shared" si="16"/>
        <v>12</v>
      </c>
      <c r="U29" s="109">
        <f t="shared" si="17"/>
        <v>17</v>
      </c>
      <c r="V29" s="110">
        <f t="shared" si="18"/>
        <v>8.01</v>
      </c>
      <c r="W29" s="109">
        <f t="shared" si="19"/>
        <v>3400</v>
      </c>
      <c r="X29" s="109">
        <f t="shared" si="20"/>
        <v>12</v>
      </c>
      <c r="Y29" s="108" t="str">
        <f t="shared" si="21"/>
        <v>&lt;2</v>
      </c>
      <c r="Z29" s="110" t="str">
        <f t="shared" si="22"/>
        <v>&lt;2</v>
      </c>
      <c r="AA29" s="110" t="str">
        <f t="shared" si="23"/>
        <v>&lt;2</v>
      </c>
      <c r="AB29" s="108" t="str">
        <f t="shared" si="24"/>
        <v>&lt;1</v>
      </c>
      <c r="AC29" s="108" t="str">
        <f t="shared" si="25"/>
        <v>&lt;5</v>
      </c>
      <c r="AD29" s="106">
        <f t="shared" si="26"/>
        <v>440</v>
      </c>
      <c r="AE29" s="106">
        <f t="shared" si="27"/>
        <v>24</v>
      </c>
      <c r="AF29" s="109">
        <f t="shared" si="28"/>
        <v>728</v>
      </c>
      <c r="AG29" s="106">
        <f t="shared" si="29"/>
        <v>8.5999999999999993E-2</v>
      </c>
      <c r="AH29" s="109">
        <f t="shared" si="30"/>
        <v>540</v>
      </c>
      <c r="AI29" s="109">
        <f t="shared" si="31"/>
        <v>1800</v>
      </c>
      <c r="AJ29" s="106">
        <f t="shared" si="32"/>
        <v>26</v>
      </c>
      <c r="AK29" s="106" t="str">
        <f t="shared" si="33"/>
        <v>&lt;0.2</v>
      </c>
      <c r="AL29" s="106">
        <f t="shared" si="34"/>
        <v>9.4</v>
      </c>
      <c r="AM29" s="106" t="str">
        <f t="shared" si="35"/>
        <v>&lt;0.2</v>
      </c>
      <c r="AN29" s="111">
        <f t="shared" si="36"/>
        <v>0.35</v>
      </c>
      <c r="AO29" s="106" t="str">
        <f t="shared" si="37"/>
        <v>&lt;0.02</v>
      </c>
      <c r="AP29" s="111" t="s">
        <v>103</v>
      </c>
      <c r="AQ29" s="106">
        <f t="shared" si="38"/>
        <v>8.1999999999999993</v>
      </c>
      <c r="AR29" s="109">
        <f t="shared" si="39"/>
        <v>3000</v>
      </c>
      <c r="AS29" s="109">
        <f t="shared" si="40"/>
        <v>760</v>
      </c>
      <c r="AT29" s="109" t="str">
        <f t="shared" si="41"/>
        <v>&lt;0.05</v>
      </c>
      <c r="AU29" s="108">
        <f t="shared" si="42"/>
        <v>6</v>
      </c>
      <c r="AV29" s="110" t="str">
        <f t="shared" si="43"/>
        <v>&lt;0.2</v>
      </c>
      <c r="AW29" s="108">
        <f t="shared" si="44"/>
        <v>1.1000000000000001</v>
      </c>
      <c r="AX29" s="108" t="str">
        <f t="shared" si="45"/>
        <v>&lt;0.2</v>
      </c>
      <c r="AY29" s="231">
        <f t="shared" si="46"/>
        <v>26</v>
      </c>
      <c r="AZ29" s="109">
        <v>1693005</v>
      </c>
      <c r="BA29" s="106" t="str">
        <f t="shared" si="47"/>
        <v>&lt;0.2</v>
      </c>
      <c r="BB29" s="106">
        <f t="shared" si="48"/>
        <v>6.6</v>
      </c>
      <c r="BC29" s="111">
        <f t="shared" si="49"/>
        <v>0.23</v>
      </c>
      <c r="BD29" s="111">
        <f t="shared" si="50"/>
        <v>0.2</v>
      </c>
      <c r="BE29" s="106" t="str">
        <f t="shared" si="51"/>
        <v>&lt;0.02</v>
      </c>
      <c r="BF29" s="106">
        <f>BD29-0.02</f>
        <v>0.18000000000000002</v>
      </c>
      <c r="BG29" s="106">
        <f t="shared" si="52"/>
        <v>7.4</v>
      </c>
      <c r="BH29" s="109">
        <f t="shared" si="53"/>
        <v>210</v>
      </c>
      <c r="BI29" s="109">
        <f t="shared" si="54"/>
        <v>670</v>
      </c>
      <c r="BJ29" s="109" t="str">
        <f t="shared" si="55"/>
        <v>&lt;0.05</v>
      </c>
      <c r="BK29" s="112">
        <f t="shared" si="56"/>
        <v>5.9</v>
      </c>
      <c r="BL29" s="110" t="str">
        <f t="shared" si="57"/>
        <v>&lt;0.2</v>
      </c>
      <c r="BM29" s="108">
        <f t="shared" si="58"/>
        <v>1.1000000000000001</v>
      </c>
      <c r="BN29" s="110" t="str">
        <f t="shared" si="59"/>
        <v>&lt;0.2</v>
      </c>
      <c r="BO29" s="113">
        <f t="shared" si="60"/>
        <v>18</v>
      </c>
    </row>
    <row r="30" spans="1:67" ht="27" customHeight="1" x14ac:dyDescent="0.4">
      <c r="A30" s="262" t="s">
        <v>134</v>
      </c>
      <c r="B30" s="106" t="str">
        <f t="shared" si="0"/>
        <v>Laguna Woods</v>
      </c>
      <c r="C30" s="263">
        <v>1693001</v>
      </c>
      <c r="D30" s="107">
        <v>44341.451388888891</v>
      </c>
      <c r="E30" s="107" t="s">
        <v>135</v>
      </c>
      <c r="F30" s="271"/>
      <c r="G30" s="271"/>
      <c r="H30" s="272"/>
      <c r="I30" s="273"/>
      <c r="J30" s="273"/>
      <c r="K30" s="272"/>
      <c r="L30" s="272"/>
      <c r="M30" s="272"/>
      <c r="N30" s="272"/>
      <c r="O30" s="273"/>
      <c r="P30" s="272"/>
      <c r="Q30" s="274"/>
      <c r="R30" s="271"/>
      <c r="S30" s="271"/>
      <c r="T30" s="272"/>
      <c r="U30" s="272"/>
      <c r="V30" s="273"/>
      <c r="W30" s="272"/>
      <c r="X30" s="272"/>
      <c r="Y30" s="271"/>
      <c r="Z30" s="273"/>
      <c r="AA30" s="273"/>
      <c r="AB30" s="271"/>
      <c r="AC30" s="271"/>
      <c r="AD30" s="275"/>
      <c r="AE30" s="275"/>
      <c r="AF30" s="272"/>
      <c r="AG30" s="275"/>
      <c r="AH30" s="272"/>
      <c r="AI30" s="272"/>
      <c r="AJ30" s="275"/>
      <c r="AK30" s="275"/>
      <c r="AL30" s="275"/>
      <c r="AM30" s="275"/>
      <c r="AN30" s="274"/>
      <c r="AO30" s="275"/>
      <c r="AP30" s="274"/>
      <c r="AQ30" s="275"/>
      <c r="AR30" s="272"/>
      <c r="AS30" s="272"/>
      <c r="AT30" s="272"/>
      <c r="AU30" s="271"/>
      <c r="AV30" s="273"/>
      <c r="AW30" s="271"/>
      <c r="AX30" s="271"/>
      <c r="AY30" s="276"/>
      <c r="AZ30" s="272"/>
      <c r="BA30" s="275"/>
      <c r="BB30" s="275"/>
      <c r="BC30" s="274"/>
      <c r="BD30" s="274"/>
      <c r="BE30" s="275"/>
      <c r="BF30" s="275"/>
      <c r="BG30" s="275"/>
      <c r="BH30" s="272"/>
      <c r="BI30" s="272"/>
      <c r="BJ30" s="272"/>
      <c r="BK30" s="277"/>
      <c r="BL30" s="273"/>
      <c r="BM30" s="271"/>
      <c r="BN30" s="273"/>
      <c r="BO30" s="278"/>
    </row>
    <row r="31" spans="1:67" ht="27" customHeight="1" x14ac:dyDescent="0.4">
      <c r="A31" s="264" t="s">
        <v>136</v>
      </c>
      <c r="B31" s="106" t="str">
        <f t="shared" si="0"/>
        <v>Laguna Woods</v>
      </c>
      <c r="C31" s="263">
        <v>1693003</v>
      </c>
      <c r="D31" s="265">
        <v>44341.468055555553</v>
      </c>
      <c r="E31" s="107" t="s">
        <v>135</v>
      </c>
      <c r="F31" s="271"/>
      <c r="G31" s="271"/>
      <c r="H31" s="272"/>
      <c r="I31" s="273"/>
      <c r="J31" s="273"/>
      <c r="K31" s="272"/>
      <c r="L31" s="272"/>
      <c r="M31" s="272"/>
      <c r="N31" s="272"/>
      <c r="O31" s="273"/>
      <c r="P31" s="272"/>
      <c r="Q31" s="274"/>
      <c r="R31" s="271"/>
      <c r="S31" s="271"/>
      <c r="T31" s="272"/>
      <c r="U31" s="272"/>
      <c r="V31" s="273"/>
      <c r="W31" s="272"/>
      <c r="X31" s="272"/>
      <c r="Y31" s="271"/>
      <c r="Z31" s="273"/>
      <c r="AA31" s="273"/>
      <c r="AB31" s="271"/>
      <c r="AC31" s="271"/>
      <c r="AD31" s="275"/>
      <c r="AE31" s="275"/>
      <c r="AF31" s="272"/>
      <c r="AG31" s="275"/>
      <c r="AH31" s="272"/>
      <c r="AI31" s="272"/>
      <c r="AJ31" s="275"/>
      <c r="AK31" s="275"/>
      <c r="AL31" s="275"/>
      <c r="AM31" s="275"/>
      <c r="AN31" s="274"/>
      <c r="AO31" s="275"/>
      <c r="AP31" s="274"/>
      <c r="AQ31" s="275"/>
      <c r="AR31" s="272"/>
      <c r="AS31" s="272"/>
      <c r="AT31" s="272"/>
      <c r="AU31" s="271"/>
      <c r="AV31" s="273"/>
      <c r="AW31" s="271"/>
      <c r="AX31" s="271"/>
      <c r="AY31" s="276"/>
      <c r="AZ31" s="272"/>
      <c r="BA31" s="275"/>
      <c r="BB31" s="275"/>
      <c r="BC31" s="274"/>
      <c r="BD31" s="274"/>
      <c r="BE31" s="275"/>
      <c r="BF31" s="275"/>
      <c r="BG31" s="275"/>
      <c r="BH31" s="272"/>
      <c r="BI31" s="272"/>
      <c r="BJ31" s="272"/>
      <c r="BK31" s="277"/>
      <c r="BL31" s="273"/>
      <c r="BM31" s="271"/>
      <c r="BN31" s="273"/>
      <c r="BO31" s="278"/>
    </row>
    <row r="32" spans="1:67" ht="27" customHeight="1" x14ac:dyDescent="0.4">
      <c r="A32" s="105" t="s">
        <v>137</v>
      </c>
      <c r="B32" s="106" t="str">
        <f t="shared" si="0"/>
        <v>Lake Forest</v>
      </c>
      <c r="C32" s="260">
        <v>1722001</v>
      </c>
      <c r="D32" s="107">
        <f>VLOOKUP(C32,WaterQuality, 2, FALSE)</f>
        <v>44343.381944444445</v>
      </c>
      <c r="E32" s="107"/>
      <c r="F32" s="108">
        <f>VLOOKUP($C32, WaterQuality, 119, FALSE)</f>
        <v>18.7</v>
      </c>
      <c r="G32" s="108">
        <f>VLOOKUP($C32, WaterQuality, 115, FALSE)</f>
        <v>8.85</v>
      </c>
      <c r="H32" s="109">
        <f>VLOOKUP($C32, WaterQuality, 117, FALSE)</f>
        <v>1038.0999999999999</v>
      </c>
      <c r="I32" s="110">
        <f>VLOOKUP($C32, WaterQuality, 116, FALSE)</f>
        <v>8.1999999999999993</v>
      </c>
      <c r="J32" s="110">
        <f>VLOOKUP($C32, WaterQuality, 118, FALSE)</f>
        <v>18.98</v>
      </c>
      <c r="K32" s="109">
        <f>VLOOKUP($C32, WaterQuality, 112, FALSE)</f>
        <v>20</v>
      </c>
      <c r="L32" s="109">
        <f>VLOOKUP($C32,WaterQuality, 111, FALSE)</f>
        <v>3500</v>
      </c>
      <c r="M32" s="109">
        <f>VLOOKUP($C32,WaterQuality, 113, FALSE)</f>
        <v>20</v>
      </c>
      <c r="N32" s="109" t="str">
        <f>VLOOKUP($C32,WaterQuality, 114, FALSE)</f>
        <v>&gt;=3600</v>
      </c>
      <c r="O32" s="110">
        <f>VLOOKUP($C32,WaterQuality, 97, FALSE)</f>
        <v>0.67</v>
      </c>
      <c r="P32" s="110">
        <f>VLOOKUP($C32,WaterQuality, 99, FALSE)</f>
        <v>0.91</v>
      </c>
      <c r="Q32" s="111">
        <f>VLOOKUP($C32,WaterQuality, 101, FALSE)</f>
        <v>0.17</v>
      </c>
      <c r="R32" s="108">
        <f>VLOOKUP($C32,WaterQuality, 100, FALSE)</f>
        <v>1.2</v>
      </c>
      <c r="S32" s="110">
        <f>VLOOKUP($C32,WaterQuality, 103, FALSE)</f>
        <v>0.83</v>
      </c>
      <c r="T32" s="108" t="str">
        <f>VLOOKUP($C32,WaterQuality, 108, FALSE)</f>
        <v>&lt;10</v>
      </c>
      <c r="U32" s="109">
        <f>VLOOKUP($C32,WaterQuality, 109, FALSE)</f>
        <v>40</v>
      </c>
      <c r="V32" s="110">
        <f>VLOOKUP($C32,WaterQuality, 102, FALSE)</f>
        <v>8.16</v>
      </c>
      <c r="W32" s="109">
        <f>VLOOKUP($C32,WaterQuality, 104, FALSE)</f>
        <v>1300</v>
      </c>
      <c r="X32" s="109">
        <f>VLOOKUP($C32,WaterQuality, 110, FALSE)</f>
        <v>15</v>
      </c>
      <c r="Y32" s="108" t="str">
        <f>VLOOKUP($C32,WaterQuality, 14, FALSE)</f>
        <v>&lt;2</v>
      </c>
      <c r="Z32" s="110" t="str">
        <f>VLOOKUP($C32,WaterQuality, 17, FALSE)</f>
        <v>&lt;2</v>
      </c>
      <c r="AA32" s="110" t="str">
        <f>VLOOKUP($C32,WaterQuality, 44, FALSE)</f>
        <v>&lt;2</v>
      </c>
      <c r="AB32" s="108" t="str">
        <f>VLOOKUP($C32,WaterQuality, 40, FALSE)</f>
        <v>&lt;1</v>
      </c>
      <c r="AC32" s="108" t="str">
        <f>VLOOKUP($C32,WaterQuality, 26, FALSE)</f>
        <v>&lt;5</v>
      </c>
      <c r="AD32" s="106">
        <f>VLOOKUP($C32,WaterQuality, 98, FALSE)</f>
        <v>120</v>
      </c>
      <c r="AE32" s="106">
        <f>VLOOKUP($C32,WaterQuality, 83, FALSE)</f>
        <v>4.9000000000000004</v>
      </c>
      <c r="AF32" s="109">
        <f>VLOOKUP($C32,WaterQuality, 84, FALSE)</f>
        <v>290</v>
      </c>
      <c r="AG32" s="106" t="str">
        <f>VLOOKUP($C32,WaterQuality, 89, FALSE)</f>
        <v>&lt;0.05</v>
      </c>
      <c r="AH32" s="109">
        <f>VLOOKUP($C32,WaterQuality, 105, FALSE)</f>
        <v>230</v>
      </c>
      <c r="AI32" s="109">
        <f>VLOOKUP($C32,WaterQuality, 107, FALSE)</f>
        <v>630</v>
      </c>
      <c r="AJ32" s="112">
        <f>VLOOKUP($C32,WaterQuality, 95, FALSE)</f>
        <v>5</v>
      </c>
      <c r="AK32" s="106" t="str">
        <f>VLOOKUP($C32,WaterQuality, 93, FALSE)</f>
        <v>&lt;0.2</v>
      </c>
      <c r="AL32" s="106">
        <f>VLOOKUP($C32,WaterQuality, 77, FALSE)</f>
        <v>1.9</v>
      </c>
      <c r="AM32" s="106" t="str">
        <f>VLOOKUP($C32,WaterQuality, 78, FALSE)</f>
        <v>&lt;0.2</v>
      </c>
      <c r="AN32" s="112">
        <f>VLOOKUP($C32,WaterQuality, 81, FALSE)</f>
        <v>1.4</v>
      </c>
      <c r="AO32" s="106">
        <f>VLOOKUP($C32,WaterQuality, 80, FALSE)</f>
        <v>8.3000000000000004E-2</v>
      </c>
      <c r="AP32" s="111">
        <f>AN32-AO32</f>
        <v>1.3169999999999999</v>
      </c>
      <c r="AQ32" s="106">
        <f>VLOOKUP($C32,WaterQuality, 82, FALSE)</f>
        <v>4.3</v>
      </c>
      <c r="AR32" s="109">
        <f>VLOOKUP($C32,WaterQuality, 85, FALSE)</f>
        <v>950</v>
      </c>
      <c r="AS32" s="109">
        <f>VLOOKUP($C32,WaterQuality, 88, FALSE)</f>
        <v>22</v>
      </c>
      <c r="AT32" s="109" t="str">
        <f>VLOOKUP($C32,WaterQuality, 90, FALSE)</f>
        <v>&lt;0.05</v>
      </c>
      <c r="AU32" s="108" t="str">
        <f>VLOOKUP($C32,WaterQuality, 91, FALSE)</f>
        <v>&lt;2</v>
      </c>
      <c r="AV32" s="110">
        <f>VLOOKUP($C32,WaterQuality, 86, FALSE)</f>
        <v>0.64</v>
      </c>
      <c r="AW32" s="108">
        <f>VLOOKUP($C32,WaterQuality, 92, FALSE)</f>
        <v>1.6</v>
      </c>
      <c r="AX32" s="108" t="str">
        <f>VLOOKUP($C32,WaterQuality, 94, FALSE)</f>
        <v>&lt;0.2</v>
      </c>
      <c r="AY32" s="231">
        <f>VLOOKUP($C32,WaterQuality, 96, FALSE)</f>
        <v>17</v>
      </c>
      <c r="AZ32" s="108">
        <v>1722006</v>
      </c>
      <c r="BA32" s="106" t="str">
        <f>VLOOKUP($AZ32,WaterQuality, 93, FALSE)</f>
        <v>&lt;0.2</v>
      </c>
      <c r="BB32" s="106">
        <f>VLOOKUP($AZ32,WaterQuality, 77, FALSE)</f>
        <v>1.7</v>
      </c>
      <c r="BC32" s="106" t="str">
        <f>VLOOKUP($AZ32,WaterQuality, 78, FALSE)</f>
        <v>&lt;0.2</v>
      </c>
      <c r="BD32" s="111" t="str">
        <f>VLOOKUP($AZ32,WaterQuality, 81, FALSE)</f>
        <v>&lt;0.2</v>
      </c>
      <c r="BE32" s="106">
        <f>VLOOKUP($AZ32,WaterQuality, 80, FALSE)</f>
        <v>9.4E-2</v>
      </c>
      <c r="BF32" s="106" t="s">
        <v>138</v>
      </c>
      <c r="BG32" s="106">
        <f>VLOOKUP($AZ32,WaterQuality, 82, FALSE)</f>
        <v>2.7</v>
      </c>
      <c r="BH32" s="109" t="str">
        <f>VLOOKUP($AZ32,WaterQuality, 85, FALSE)</f>
        <v>&lt;20</v>
      </c>
      <c r="BI32" s="108">
        <f>VLOOKUP($AZ32,WaterQuality, 88, FALSE)</f>
        <v>6.7</v>
      </c>
      <c r="BJ32" s="109" t="str">
        <f>VLOOKUP($AZ32,WaterQuality, 90, FALSE)</f>
        <v>&lt;0.05</v>
      </c>
      <c r="BK32" s="112" t="str">
        <f>VLOOKUP($AZ32,WaterQuality, 91, FALSE)</f>
        <v>&lt;2</v>
      </c>
      <c r="BL32" s="110" t="str">
        <f>VLOOKUP($AZ32,WaterQuality, 86, FALSE)</f>
        <v>&lt;0.2</v>
      </c>
      <c r="BM32" s="108">
        <f>VLOOKUP($AZ32,WaterQuality, 92, FALSE)</f>
        <v>1.7</v>
      </c>
      <c r="BN32" s="110" t="str">
        <f>VLOOKUP($AZ32,WaterQuality, 94, FALSE)</f>
        <v>&lt;0.2</v>
      </c>
      <c r="BO32" s="113" t="str">
        <f>VLOOKUP($AZ32,WaterQuality, 96, FALSE)</f>
        <v>&lt;10</v>
      </c>
    </row>
    <row r="33" spans="1:67" ht="27" customHeight="1" x14ac:dyDescent="0.4">
      <c r="A33" s="105" t="s">
        <v>139</v>
      </c>
      <c r="B33" s="106" t="str">
        <f t="shared" si="0"/>
        <v>Lake Forest</v>
      </c>
      <c r="C33" s="260">
        <v>1722004</v>
      </c>
      <c r="D33" s="107">
        <f>VLOOKUP(C33,WaterQuality, 2, FALSE)</f>
        <v>44343.443749999999</v>
      </c>
      <c r="E33" s="107"/>
      <c r="F33" s="108">
        <f>VLOOKUP($C33, WaterQuality, 119, FALSE)</f>
        <v>1.42</v>
      </c>
      <c r="G33" s="108">
        <f>VLOOKUP($C33, WaterQuality, 115, FALSE)</f>
        <v>9.11</v>
      </c>
      <c r="H33" s="109">
        <f>VLOOKUP($C33, WaterQuality, 117, FALSE)</f>
        <v>2063</v>
      </c>
      <c r="I33" s="110">
        <f>VLOOKUP($C33, WaterQuality, 116, FALSE)</f>
        <v>8.17</v>
      </c>
      <c r="J33" s="110">
        <f>VLOOKUP($C33, WaterQuality, 118, FALSE)</f>
        <v>19.18</v>
      </c>
      <c r="K33" s="109">
        <f>VLOOKUP($C33, WaterQuality, 112, FALSE)</f>
        <v>7100</v>
      </c>
      <c r="L33" s="109">
        <f>VLOOKUP($C33,WaterQuality, 111, FALSE)</f>
        <v>20000</v>
      </c>
      <c r="M33" s="109">
        <f>VLOOKUP($C33,WaterQuality, 113, FALSE)</f>
        <v>13300</v>
      </c>
      <c r="N33" s="109" t="str">
        <f>VLOOKUP($C33,WaterQuality, 114, FALSE)</f>
        <v>&gt;=59000</v>
      </c>
      <c r="O33" s="110" t="str">
        <f>VLOOKUP($C33,WaterQuality, 97, FALSE)</f>
        <v>&lt;0.1</v>
      </c>
      <c r="P33" s="108">
        <f>VLOOKUP($C33,WaterQuality, 99, FALSE)</f>
        <v>6.6</v>
      </c>
      <c r="Q33" s="111">
        <f>VLOOKUP($C33,WaterQuality, 101, FALSE)</f>
        <v>0.37</v>
      </c>
      <c r="R33" s="110">
        <f>VLOOKUP($C33,WaterQuality, 100, FALSE)</f>
        <v>0.62</v>
      </c>
      <c r="S33" s="108">
        <f>VLOOKUP($C33,WaterQuality, 103, FALSE)</f>
        <v>1.5</v>
      </c>
      <c r="T33" s="108" t="str">
        <f>VLOOKUP($C33,WaterQuality, 108, FALSE)</f>
        <v>&lt;5.6</v>
      </c>
      <c r="U33" s="108" t="str">
        <f>VLOOKUP($C33,WaterQuality, 109, FALSE)</f>
        <v>&lt;0.6</v>
      </c>
      <c r="V33" s="110">
        <f>VLOOKUP($C33,WaterQuality, 102, FALSE)</f>
        <v>8.1300000000000008</v>
      </c>
      <c r="W33" s="109">
        <f>VLOOKUP($C33,WaterQuality, 104, FALSE)</f>
        <v>2500</v>
      </c>
      <c r="X33" s="110">
        <f>VLOOKUP($C33,WaterQuality, 110, FALSE)</f>
        <v>0.66</v>
      </c>
      <c r="Y33" s="108" t="str">
        <f>VLOOKUP($C33,WaterQuality, 14, FALSE)</f>
        <v>&lt;2</v>
      </c>
      <c r="Z33" s="110" t="str">
        <f>VLOOKUP($C33,WaterQuality, 17, FALSE)</f>
        <v>&lt;2</v>
      </c>
      <c r="AA33" s="110" t="str">
        <f>VLOOKUP($C33,WaterQuality, 44, FALSE)</f>
        <v>&lt;2</v>
      </c>
      <c r="AB33" s="108" t="str">
        <f>VLOOKUP($C33,WaterQuality, 40, FALSE)</f>
        <v>&lt;1</v>
      </c>
      <c r="AC33" s="108" t="str">
        <f>VLOOKUP($C33,WaterQuality, 26, FALSE)</f>
        <v>&lt;5</v>
      </c>
      <c r="AD33" s="106">
        <f>VLOOKUP($C33,WaterQuality, 98, FALSE)</f>
        <v>250</v>
      </c>
      <c r="AE33" s="106">
        <f>VLOOKUP($C33,WaterQuality, 83, FALSE)</f>
        <v>1.2</v>
      </c>
      <c r="AF33" s="109">
        <f>VLOOKUP($C33,WaterQuality, 84, FALSE)</f>
        <v>775</v>
      </c>
      <c r="AG33" s="106" t="str">
        <f>VLOOKUP($C33,WaterQuality, 89, FALSE)</f>
        <v>&lt;0.05</v>
      </c>
      <c r="AH33" s="109">
        <f>VLOOKUP($C33,WaterQuality, 105, FALSE)</f>
        <v>420</v>
      </c>
      <c r="AI33" s="109">
        <f>VLOOKUP($C33,WaterQuality, 107, FALSE)</f>
        <v>1400</v>
      </c>
      <c r="AJ33" s="106">
        <f>VLOOKUP($C33,WaterQuality, 95, FALSE)</f>
        <v>6.4</v>
      </c>
      <c r="AK33" s="106" t="str">
        <f>VLOOKUP($C33,WaterQuality, 93, FALSE)</f>
        <v>&lt;0.2</v>
      </c>
      <c r="AL33" s="106">
        <f>VLOOKUP($C33,WaterQuality, 77, FALSE)</f>
        <v>5.0999999999999996</v>
      </c>
      <c r="AM33" s="106" t="str">
        <f>VLOOKUP($C33,WaterQuality, 78, FALSE)</f>
        <v>&lt;0.2</v>
      </c>
      <c r="AN33" s="111">
        <f>VLOOKUP($C33,WaterQuality, 81, FALSE)</f>
        <v>0.33</v>
      </c>
      <c r="AO33" s="106">
        <f>VLOOKUP($C33,WaterQuality, 80, FALSE)</f>
        <v>0.27</v>
      </c>
      <c r="AP33" s="111">
        <f>AN33-AO33</f>
        <v>0.06</v>
      </c>
      <c r="AQ33" s="106">
        <f>VLOOKUP($C33,WaterQuality, 82, FALSE)</f>
        <v>2.5</v>
      </c>
      <c r="AR33" s="109">
        <f>VLOOKUP($C33,WaterQuality, 85, FALSE)</f>
        <v>29</v>
      </c>
      <c r="AS33" s="109">
        <f>VLOOKUP($C33,WaterQuality, 88, FALSE)</f>
        <v>54</v>
      </c>
      <c r="AT33" s="109" t="str">
        <f>VLOOKUP($C33,WaterQuality, 90, FALSE)</f>
        <v>&lt;0.05</v>
      </c>
      <c r="AU33" s="108">
        <f>VLOOKUP($C33,WaterQuality, 91, FALSE)</f>
        <v>2</v>
      </c>
      <c r="AV33" s="110" t="str">
        <f>VLOOKUP($C33,WaterQuality, 86, FALSE)</f>
        <v>&lt;0.2</v>
      </c>
      <c r="AW33" s="108">
        <f>VLOOKUP($C33,WaterQuality, 92, FALSE)</f>
        <v>3.2</v>
      </c>
      <c r="AX33" s="108" t="str">
        <f>VLOOKUP($C33,WaterQuality, 94, FALSE)</f>
        <v>&lt;0.2</v>
      </c>
      <c r="AY33" s="111" t="str">
        <f>VLOOKUP($C33,WaterQuality, 96, FALSE)</f>
        <v>&lt;10</v>
      </c>
      <c r="AZ33" s="109">
        <v>1722009</v>
      </c>
      <c r="BA33" s="106" t="str">
        <f>VLOOKUP($AZ33,WaterQuality, 93, FALSE)</f>
        <v>&lt;0.2</v>
      </c>
      <c r="BB33" s="106">
        <f>VLOOKUP($AZ33,WaterQuality, 77, FALSE)</f>
        <v>5.0999999999999996</v>
      </c>
      <c r="BC33" s="106" t="str">
        <f>VLOOKUP($AZ33,WaterQuality, 78, FALSE)</f>
        <v>&lt;0.2</v>
      </c>
      <c r="BD33" s="111">
        <f>VLOOKUP($AZ33,WaterQuality, 81, FALSE)</f>
        <v>0.3</v>
      </c>
      <c r="BE33" s="106">
        <f>VLOOKUP($AZ33,WaterQuality, 80, FALSE)</f>
        <v>0.27</v>
      </c>
      <c r="BF33" s="106">
        <f>BD33-BE33</f>
        <v>2.9999999999999971E-2</v>
      </c>
      <c r="BG33" s="106">
        <f>VLOOKUP($AZ33,WaterQuality, 82, FALSE)</f>
        <v>1.8</v>
      </c>
      <c r="BH33" s="109" t="str">
        <f>VLOOKUP($AZ33,WaterQuality, 85, FALSE)</f>
        <v>&lt;20</v>
      </c>
      <c r="BI33" s="109">
        <f>VLOOKUP($AZ33,WaterQuality, 88, FALSE)</f>
        <v>51</v>
      </c>
      <c r="BJ33" s="109" t="str">
        <f>VLOOKUP($AZ33,WaterQuality, 90, FALSE)</f>
        <v>&lt;0.05</v>
      </c>
      <c r="BK33" s="112">
        <f>VLOOKUP($AZ33,WaterQuality, 91, FALSE)</f>
        <v>2</v>
      </c>
      <c r="BL33" s="110" t="str">
        <f>VLOOKUP($AZ33,WaterQuality, 86, FALSE)</f>
        <v>&lt;0.2</v>
      </c>
      <c r="BM33" s="108">
        <f>VLOOKUP($AZ33,WaterQuality, 92, FALSE)</f>
        <v>3.3</v>
      </c>
      <c r="BN33" s="110" t="str">
        <f>VLOOKUP($AZ33,WaterQuality, 94, FALSE)</f>
        <v>&lt;0.2</v>
      </c>
      <c r="BO33" s="113" t="str">
        <f>VLOOKUP($AZ33,WaterQuality, 96, FALSE)</f>
        <v>&lt;10</v>
      </c>
    </row>
    <row r="34" spans="1:67" ht="27" customHeight="1" x14ac:dyDescent="0.4">
      <c r="A34" s="266" t="s">
        <v>140</v>
      </c>
      <c r="B34" s="106" t="str">
        <f t="shared" si="0"/>
        <v>Lake Forest</v>
      </c>
      <c r="C34" s="267">
        <v>1722002</v>
      </c>
      <c r="D34" s="107">
        <v>44343.408333333333</v>
      </c>
      <c r="E34" s="107" t="s">
        <v>135</v>
      </c>
      <c r="F34" s="271"/>
      <c r="G34" s="271"/>
      <c r="H34" s="272"/>
      <c r="I34" s="273"/>
      <c r="J34" s="273"/>
      <c r="K34" s="272"/>
      <c r="L34" s="272"/>
      <c r="M34" s="272"/>
      <c r="N34" s="272"/>
      <c r="O34" s="273"/>
      <c r="P34" s="271"/>
      <c r="Q34" s="274"/>
      <c r="R34" s="273"/>
      <c r="S34" s="271"/>
      <c r="T34" s="271"/>
      <c r="U34" s="271"/>
      <c r="V34" s="273"/>
      <c r="W34" s="272"/>
      <c r="X34" s="273"/>
      <c r="Y34" s="271"/>
      <c r="Z34" s="273"/>
      <c r="AA34" s="273"/>
      <c r="AB34" s="271"/>
      <c r="AC34" s="271"/>
      <c r="AD34" s="275"/>
      <c r="AE34" s="275"/>
      <c r="AF34" s="272"/>
      <c r="AG34" s="275"/>
      <c r="AH34" s="272"/>
      <c r="AI34" s="272"/>
      <c r="AJ34" s="275"/>
      <c r="AK34" s="275"/>
      <c r="AL34" s="275"/>
      <c r="AM34" s="275"/>
      <c r="AN34" s="274"/>
      <c r="AO34" s="275"/>
      <c r="AP34" s="274"/>
      <c r="AQ34" s="275"/>
      <c r="AR34" s="272"/>
      <c r="AS34" s="272"/>
      <c r="AT34" s="272"/>
      <c r="AU34" s="271"/>
      <c r="AV34" s="273"/>
      <c r="AW34" s="271"/>
      <c r="AX34" s="271"/>
      <c r="AY34" s="274"/>
      <c r="AZ34" s="272"/>
      <c r="BA34" s="275"/>
      <c r="BB34" s="275"/>
      <c r="BC34" s="275"/>
      <c r="BD34" s="274"/>
      <c r="BE34" s="275"/>
      <c r="BF34" s="275"/>
      <c r="BG34" s="275"/>
      <c r="BH34" s="272"/>
      <c r="BI34" s="272"/>
      <c r="BJ34" s="272"/>
      <c r="BK34" s="277"/>
      <c r="BL34" s="273"/>
      <c r="BM34" s="271"/>
      <c r="BN34" s="273"/>
      <c r="BO34" s="278"/>
    </row>
    <row r="35" spans="1:67" ht="27" customHeight="1" x14ac:dyDescent="0.4">
      <c r="A35" s="266" t="s">
        <v>141</v>
      </c>
      <c r="B35" s="106" t="str">
        <f t="shared" si="0"/>
        <v>Lake Forest</v>
      </c>
      <c r="C35" s="267">
        <v>1722003</v>
      </c>
      <c r="D35" s="107">
        <v>44343.416666666664</v>
      </c>
      <c r="E35" s="107" t="s">
        <v>135</v>
      </c>
      <c r="F35" s="271"/>
      <c r="G35" s="271"/>
      <c r="H35" s="272"/>
      <c r="I35" s="273"/>
      <c r="J35" s="273"/>
      <c r="K35" s="272"/>
      <c r="L35" s="272"/>
      <c r="M35" s="272"/>
      <c r="N35" s="272"/>
      <c r="O35" s="273"/>
      <c r="P35" s="271"/>
      <c r="Q35" s="274"/>
      <c r="R35" s="273"/>
      <c r="S35" s="271"/>
      <c r="T35" s="271"/>
      <c r="U35" s="271"/>
      <c r="V35" s="273"/>
      <c r="W35" s="272"/>
      <c r="X35" s="273"/>
      <c r="Y35" s="271"/>
      <c r="Z35" s="273"/>
      <c r="AA35" s="273"/>
      <c r="AB35" s="271"/>
      <c r="AC35" s="271"/>
      <c r="AD35" s="275"/>
      <c r="AE35" s="275"/>
      <c r="AF35" s="272"/>
      <c r="AG35" s="275"/>
      <c r="AH35" s="272"/>
      <c r="AI35" s="272"/>
      <c r="AJ35" s="275"/>
      <c r="AK35" s="275"/>
      <c r="AL35" s="275"/>
      <c r="AM35" s="275"/>
      <c r="AN35" s="274"/>
      <c r="AO35" s="275"/>
      <c r="AP35" s="274"/>
      <c r="AQ35" s="275"/>
      <c r="AR35" s="272"/>
      <c r="AS35" s="272"/>
      <c r="AT35" s="272"/>
      <c r="AU35" s="271"/>
      <c r="AV35" s="273"/>
      <c r="AW35" s="271"/>
      <c r="AX35" s="271"/>
      <c r="AY35" s="274"/>
      <c r="AZ35" s="272"/>
      <c r="BA35" s="275"/>
      <c r="BB35" s="275"/>
      <c r="BC35" s="275"/>
      <c r="BD35" s="274"/>
      <c r="BE35" s="275"/>
      <c r="BF35" s="275"/>
      <c r="BG35" s="275"/>
      <c r="BH35" s="272"/>
      <c r="BI35" s="272"/>
      <c r="BJ35" s="272"/>
      <c r="BK35" s="277"/>
      <c r="BL35" s="273"/>
      <c r="BM35" s="271"/>
      <c r="BN35" s="273"/>
      <c r="BO35" s="278"/>
    </row>
    <row r="36" spans="1:67" ht="27" customHeight="1" x14ac:dyDescent="0.4">
      <c r="A36" s="266" t="s">
        <v>142</v>
      </c>
      <c r="B36" s="106" t="str">
        <f t="shared" si="0"/>
        <v>Lake Forest</v>
      </c>
      <c r="C36" s="263">
        <v>1722005</v>
      </c>
      <c r="D36" s="107">
        <v>44343.495833333334</v>
      </c>
      <c r="E36" s="107" t="s">
        <v>143</v>
      </c>
      <c r="F36" s="271"/>
      <c r="G36" s="271"/>
      <c r="H36" s="272"/>
      <c r="I36" s="273"/>
      <c r="J36" s="273"/>
      <c r="K36" s="272"/>
      <c r="L36" s="272"/>
      <c r="M36" s="272"/>
      <c r="N36" s="272"/>
      <c r="O36" s="273"/>
      <c r="P36" s="271"/>
      <c r="Q36" s="274"/>
      <c r="R36" s="273"/>
      <c r="S36" s="271"/>
      <c r="T36" s="271"/>
      <c r="U36" s="271"/>
      <c r="V36" s="273"/>
      <c r="W36" s="272"/>
      <c r="X36" s="273"/>
      <c r="Y36" s="271"/>
      <c r="Z36" s="273"/>
      <c r="AA36" s="273"/>
      <c r="AB36" s="271"/>
      <c r="AC36" s="271"/>
      <c r="AD36" s="275"/>
      <c r="AE36" s="275"/>
      <c r="AF36" s="272"/>
      <c r="AG36" s="275"/>
      <c r="AH36" s="272"/>
      <c r="AI36" s="272"/>
      <c r="AJ36" s="275"/>
      <c r="AK36" s="275"/>
      <c r="AL36" s="275"/>
      <c r="AM36" s="275"/>
      <c r="AN36" s="274"/>
      <c r="AO36" s="275"/>
      <c r="AP36" s="274"/>
      <c r="AQ36" s="275"/>
      <c r="AR36" s="272"/>
      <c r="AS36" s="272"/>
      <c r="AT36" s="272"/>
      <c r="AU36" s="271"/>
      <c r="AV36" s="273"/>
      <c r="AW36" s="271"/>
      <c r="AX36" s="271"/>
      <c r="AY36" s="274"/>
      <c r="AZ36" s="272"/>
      <c r="BA36" s="275"/>
      <c r="BB36" s="275"/>
      <c r="BC36" s="275"/>
      <c r="BD36" s="274"/>
      <c r="BE36" s="275"/>
      <c r="BF36" s="275"/>
      <c r="BG36" s="275"/>
      <c r="BH36" s="272"/>
      <c r="BI36" s="272"/>
      <c r="BJ36" s="272"/>
      <c r="BK36" s="277"/>
      <c r="BL36" s="273"/>
      <c r="BM36" s="271"/>
      <c r="BN36" s="273"/>
      <c r="BO36" s="278"/>
    </row>
    <row r="37" spans="1:67" ht="27" customHeight="1" x14ac:dyDescent="0.4">
      <c r="A37" s="105" t="s">
        <v>144</v>
      </c>
      <c r="B37" s="106" t="str">
        <f t="shared" si="0"/>
        <v>Mission Viejo</v>
      </c>
      <c r="C37" s="260">
        <v>1718003</v>
      </c>
      <c r="D37" s="107">
        <f t="shared" ref="D37:D53" si="64">VLOOKUP(C37,WaterQuality, 2, FALSE)</f>
        <v>44341.365277777775</v>
      </c>
      <c r="E37" s="107"/>
      <c r="F37" s="108">
        <f t="shared" ref="F37:F42" si="65">VLOOKUP($C37, WaterQuality, 119, FALSE)</f>
        <v>1.24</v>
      </c>
      <c r="G37" s="108">
        <f t="shared" ref="G37:G53" si="66">VLOOKUP($C37, WaterQuality, 115, FALSE)</f>
        <v>7.57</v>
      </c>
      <c r="H37" s="109">
        <f t="shared" ref="H37:H53" si="67">VLOOKUP($C37, WaterQuality, 117, FALSE)</f>
        <v>5511</v>
      </c>
      <c r="I37" s="110">
        <f t="shared" ref="I37:I53" si="68">VLOOKUP($C37, WaterQuality, 116, FALSE)</f>
        <v>7.25</v>
      </c>
      <c r="J37" s="110">
        <f t="shared" ref="J37:J53" si="69">VLOOKUP($C37, WaterQuality, 118, FALSE)</f>
        <v>21.81</v>
      </c>
      <c r="K37" s="109" t="str">
        <f t="shared" ref="K37:K53" si="70">VLOOKUP($C37, WaterQuality, 112, FALSE)</f>
        <v>&gt;=340</v>
      </c>
      <c r="L37" s="109">
        <f t="shared" ref="L37:L53" si="71">VLOOKUP($C37,WaterQuality, 111, FALSE)</f>
        <v>3800</v>
      </c>
      <c r="M37" s="109" t="str">
        <f t="shared" ref="M37:M53" si="72">VLOOKUP($C37,WaterQuality, 113, FALSE)</f>
        <v>&gt;=570</v>
      </c>
      <c r="N37" s="109" t="str">
        <f t="shared" ref="N37:N53" si="73">VLOOKUP($C37,WaterQuality, 114, FALSE)</f>
        <v>&gt;=7600</v>
      </c>
      <c r="O37" s="110">
        <f t="shared" ref="O37:O53" si="74">VLOOKUP($C37,WaterQuality, 97, FALSE)</f>
        <v>0.17</v>
      </c>
      <c r="P37" s="110">
        <f t="shared" ref="P37:P53" si="75">VLOOKUP($C37,WaterQuality, 99, FALSE)</f>
        <v>0.81</v>
      </c>
      <c r="Q37" s="111">
        <f t="shared" ref="Q37:Q53" si="76">VLOOKUP($C37,WaterQuality, 101, FALSE)</f>
        <v>0.27</v>
      </c>
      <c r="R37" s="110">
        <f t="shared" ref="R37:R53" si="77">VLOOKUP($C37,WaterQuality, 100, FALSE)</f>
        <v>0.82</v>
      </c>
      <c r="S37" s="108">
        <f t="shared" ref="S37:S53" si="78">VLOOKUP($C37,WaterQuality, 103, FALSE)</f>
        <v>1.7</v>
      </c>
      <c r="T37" s="108" t="str">
        <f t="shared" ref="T37:T53" si="79">VLOOKUP($C37,WaterQuality, 108, FALSE)</f>
        <v>&lt;5.6</v>
      </c>
      <c r="U37" s="108">
        <f t="shared" ref="U37:U53" si="80">VLOOKUP($C37,WaterQuality, 109, FALSE)</f>
        <v>3.6</v>
      </c>
      <c r="V37" s="110">
        <f t="shared" ref="V37:V53" si="81">VLOOKUP($C37,WaterQuality, 102, FALSE)</f>
        <v>8</v>
      </c>
      <c r="W37" s="109">
        <f t="shared" ref="W37:W53" si="82">VLOOKUP($C37,WaterQuality, 104, FALSE)</f>
        <v>3700</v>
      </c>
      <c r="X37" s="108">
        <f t="shared" ref="X37:X53" si="83">VLOOKUP($C37,WaterQuality, 110, FALSE)</f>
        <v>1.8</v>
      </c>
      <c r="Y37" s="108" t="str">
        <f t="shared" ref="Y37:Y53" si="84">VLOOKUP($C37,WaterQuality, 14, FALSE)</f>
        <v>&lt;2</v>
      </c>
      <c r="Z37" s="110" t="str">
        <f t="shared" ref="Z37:Z53" si="85">VLOOKUP($C37,WaterQuality, 17, FALSE)</f>
        <v>&lt;2</v>
      </c>
      <c r="AA37" s="110" t="str">
        <f t="shared" ref="AA37:AA53" si="86">VLOOKUP($C37,WaterQuality, 44, FALSE)</f>
        <v>&lt;2</v>
      </c>
      <c r="AB37" s="108" t="str">
        <f t="shared" ref="AB37:AB53" si="87">VLOOKUP($C37,WaterQuality, 40, FALSE)</f>
        <v>&lt;1</v>
      </c>
      <c r="AC37" s="108" t="str">
        <f t="shared" ref="AC37:AC53" si="88">VLOOKUP($C37,WaterQuality, 26, FALSE)</f>
        <v>&lt;5</v>
      </c>
      <c r="AD37" s="106">
        <f t="shared" ref="AD37:AD53" si="89">VLOOKUP($C37,WaterQuality, 98, FALSE)</f>
        <v>330</v>
      </c>
      <c r="AE37" s="106">
        <f t="shared" ref="AE37:AE53" si="90">VLOOKUP($C37,WaterQuality, 83, FALSE)</f>
        <v>3.4</v>
      </c>
      <c r="AF37" s="109">
        <f t="shared" ref="AF37:AF53" si="91">VLOOKUP($C37,WaterQuality, 84, FALSE)</f>
        <v>1330</v>
      </c>
      <c r="AG37" s="106" t="str">
        <f t="shared" ref="AG37:AG53" si="92">VLOOKUP($C37,WaterQuality, 89, FALSE)</f>
        <v>&lt;0.05</v>
      </c>
      <c r="AH37" s="109">
        <f t="shared" ref="AH37:AH53" si="93">VLOOKUP($C37,WaterQuality, 105, FALSE)</f>
        <v>1100</v>
      </c>
      <c r="AI37" s="109">
        <f t="shared" ref="AI37:AI53" si="94">VLOOKUP($C37,WaterQuality, 107, FALSE)</f>
        <v>2400</v>
      </c>
      <c r="AJ37" s="106">
        <f t="shared" ref="AJ37:AJ53" si="95">VLOOKUP($C37,WaterQuality, 95, FALSE)</f>
        <v>5.6</v>
      </c>
      <c r="AK37" s="106" t="str">
        <f t="shared" ref="AK37:AK53" si="96">VLOOKUP($C37,WaterQuality, 93, FALSE)</f>
        <v>&lt;0.2</v>
      </c>
      <c r="AL37" s="106">
        <f t="shared" ref="AL37:AL53" si="97">VLOOKUP($C37,WaterQuality, 77, FALSE)</f>
        <v>2.6</v>
      </c>
      <c r="AM37" s="106">
        <f t="shared" ref="AM37:AM53" si="98">VLOOKUP($C37,WaterQuality, 78, FALSE)</f>
        <v>1.8</v>
      </c>
      <c r="AN37" s="111">
        <f t="shared" ref="AN37:AN53" si="99">VLOOKUP($C37,WaterQuality, 81, FALSE)</f>
        <v>0.37</v>
      </c>
      <c r="AO37" s="106" t="str">
        <f t="shared" ref="AO37:AO53" si="100">VLOOKUP($C37,WaterQuality, 80, FALSE)</f>
        <v>&lt;0.02</v>
      </c>
      <c r="AP37" s="111" t="s">
        <v>114</v>
      </c>
      <c r="AQ37" s="106">
        <f t="shared" ref="AQ37:AQ53" si="101">VLOOKUP($C37,WaterQuality, 82, FALSE)</f>
        <v>5.4</v>
      </c>
      <c r="AR37" s="109">
        <f t="shared" ref="AR37:AR53" si="102">VLOOKUP($C37,WaterQuality, 85, FALSE)</f>
        <v>330</v>
      </c>
      <c r="AS37" s="109">
        <f t="shared" ref="AS37:AS53" si="103">VLOOKUP($C37,WaterQuality, 88, FALSE)</f>
        <v>1000</v>
      </c>
      <c r="AT37" s="109" t="str">
        <f t="shared" ref="AT37:AT53" si="104">VLOOKUP($C37,WaterQuality, 90, FALSE)</f>
        <v>&lt;0.05</v>
      </c>
      <c r="AU37" s="108">
        <f t="shared" ref="AU37:AU53" si="105">VLOOKUP($C37,WaterQuality, 91, FALSE)</f>
        <v>9.3000000000000007</v>
      </c>
      <c r="AV37" s="110" t="str">
        <f t="shared" ref="AV37:AV53" si="106">VLOOKUP($C37,WaterQuality, 86, FALSE)</f>
        <v>&lt;0.2</v>
      </c>
      <c r="AW37" s="108">
        <f t="shared" ref="AW37:AW53" si="107">VLOOKUP($C37,WaterQuality, 92, FALSE)</f>
        <v>4.9000000000000004</v>
      </c>
      <c r="AX37" s="108" t="str">
        <f t="shared" ref="AX37:AX53" si="108">VLOOKUP($C37,WaterQuality, 94, FALSE)</f>
        <v>&lt;0.2</v>
      </c>
      <c r="AY37" s="111" t="str">
        <f t="shared" ref="AY37:AY53" si="109">VLOOKUP($C37,WaterQuality, 96, FALSE)</f>
        <v>&lt;10</v>
      </c>
      <c r="AZ37" s="108">
        <v>1718006</v>
      </c>
      <c r="BA37" s="106" t="str">
        <f t="shared" ref="BA37:BA53" si="110">VLOOKUP($AZ37,WaterQuality, 93, FALSE)</f>
        <v>&lt;0.2</v>
      </c>
      <c r="BB37" s="106">
        <f t="shared" ref="BB37:BB53" si="111">VLOOKUP($AZ37,WaterQuality, 77, FALSE)</f>
        <v>2.2999999999999998</v>
      </c>
      <c r="BC37" s="111">
        <f t="shared" ref="BC37:BC53" si="112">VLOOKUP($AZ37,WaterQuality, 78, FALSE)</f>
        <v>0.69</v>
      </c>
      <c r="BD37" s="111" t="str">
        <f t="shared" ref="BD37:BD53" si="113">VLOOKUP($AZ37,WaterQuality, 81, FALSE)</f>
        <v>&lt;0.2</v>
      </c>
      <c r="BE37" s="106">
        <f t="shared" ref="BE37:BE53" si="114">VLOOKUP($AZ37,WaterQuality, 80, FALSE)</f>
        <v>0.02</v>
      </c>
      <c r="BF37" s="111" t="str">
        <f>BD37</f>
        <v>&lt;0.2</v>
      </c>
      <c r="BG37" s="106">
        <f t="shared" ref="BG37:BG53" si="115">VLOOKUP($AZ37,WaterQuality, 82, FALSE)</f>
        <v>2.1</v>
      </c>
      <c r="BH37" s="109">
        <f t="shared" ref="BH37:BH53" si="116">VLOOKUP($AZ37,WaterQuality, 85, FALSE)</f>
        <v>63</v>
      </c>
      <c r="BI37" s="109">
        <f t="shared" ref="BI37:BI53" si="117">VLOOKUP($AZ37,WaterQuality, 88, FALSE)</f>
        <v>1000</v>
      </c>
      <c r="BJ37" s="109" t="str">
        <f t="shared" ref="BJ37:BJ53" si="118">VLOOKUP($AZ37,WaterQuality, 90, FALSE)</f>
        <v>&lt;0.05</v>
      </c>
      <c r="BK37" s="112">
        <f t="shared" ref="BK37:BK53" si="119">VLOOKUP($AZ37,WaterQuality, 91, FALSE)</f>
        <v>9.1</v>
      </c>
      <c r="BL37" s="110" t="str">
        <f t="shared" ref="BL37:BL53" si="120">VLOOKUP($AZ37,WaterQuality, 86, FALSE)</f>
        <v>&lt;0.2</v>
      </c>
      <c r="BM37" s="108">
        <f t="shared" ref="BM37:BM53" si="121">VLOOKUP($AZ37,WaterQuality, 92, FALSE)</f>
        <v>4.7</v>
      </c>
      <c r="BN37" s="110" t="str">
        <f t="shared" ref="BN37:BN53" si="122">VLOOKUP($AZ37,WaterQuality, 94, FALSE)</f>
        <v>&lt;0.2</v>
      </c>
      <c r="BO37" s="113" t="str">
        <f t="shared" ref="BO37:BO53" si="123">VLOOKUP($AZ37,WaterQuality, 96, FALSE)</f>
        <v>&lt;10</v>
      </c>
    </row>
    <row r="38" spans="1:67" ht="27" customHeight="1" x14ac:dyDescent="0.4">
      <c r="A38" s="105" t="s">
        <v>145</v>
      </c>
      <c r="B38" s="106" t="str">
        <f t="shared" si="0"/>
        <v>Mission Viejo</v>
      </c>
      <c r="C38" s="260">
        <v>1717002</v>
      </c>
      <c r="D38" s="107">
        <f t="shared" si="64"/>
        <v>44341.39166666667</v>
      </c>
      <c r="E38" s="107"/>
      <c r="F38" s="108">
        <f t="shared" si="65"/>
        <v>1.22</v>
      </c>
      <c r="G38" s="108">
        <f t="shared" si="66"/>
        <v>8.24</v>
      </c>
      <c r="H38" s="109">
        <f t="shared" si="67"/>
        <v>2142.8000000000002</v>
      </c>
      <c r="I38" s="110">
        <f t="shared" si="68"/>
        <v>8.09</v>
      </c>
      <c r="J38" s="110">
        <f t="shared" si="69"/>
        <v>20.56</v>
      </c>
      <c r="K38" s="109">
        <f t="shared" si="70"/>
        <v>2700</v>
      </c>
      <c r="L38" s="109">
        <f t="shared" si="71"/>
        <v>4500</v>
      </c>
      <c r="M38" s="109">
        <f t="shared" si="72"/>
        <v>2400</v>
      </c>
      <c r="N38" s="109" t="str">
        <f t="shared" si="73"/>
        <v>&gt;=8400</v>
      </c>
      <c r="O38" s="110">
        <f t="shared" si="74"/>
        <v>0.45</v>
      </c>
      <c r="P38" s="108">
        <f t="shared" si="75"/>
        <v>2.8</v>
      </c>
      <c r="Q38" s="111">
        <f t="shared" si="76"/>
        <v>0.2</v>
      </c>
      <c r="R38" s="108">
        <f t="shared" si="77"/>
        <v>1.4</v>
      </c>
      <c r="S38" s="108">
        <f t="shared" si="78"/>
        <v>1.2</v>
      </c>
      <c r="T38" s="108" t="str">
        <f t="shared" si="79"/>
        <v>&lt;6.3</v>
      </c>
      <c r="U38" s="108">
        <f t="shared" si="80"/>
        <v>3.5</v>
      </c>
      <c r="V38" s="110">
        <f t="shared" si="81"/>
        <v>8.26</v>
      </c>
      <c r="W38" s="109">
        <f t="shared" si="82"/>
        <v>2500</v>
      </c>
      <c r="X38" s="108">
        <f t="shared" si="83"/>
        <v>1.4</v>
      </c>
      <c r="Y38" s="108" t="str">
        <f t="shared" si="84"/>
        <v>&lt;2</v>
      </c>
      <c r="Z38" s="110" t="str">
        <f t="shared" si="85"/>
        <v>&lt;2</v>
      </c>
      <c r="AA38" s="110" t="str">
        <f t="shared" si="86"/>
        <v>&lt;2</v>
      </c>
      <c r="AB38" s="108" t="str">
        <f t="shared" si="87"/>
        <v>&lt;1</v>
      </c>
      <c r="AC38" s="108" t="str">
        <f t="shared" si="88"/>
        <v>&lt;5</v>
      </c>
      <c r="AD38" s="106">
        <f t="shared" si="89"/>
        <v>250</v>
      </c>
      <c r="AE38" s="106">
        <f t="shared" si="90"/>
        <v>7.4</v>
      </c>
      <c r="AF38" s="109">
        <f t="shared" si="91"/>
        <v>612</v>
      </c>
      <c r="AG38" s="106">
        <f t="shared" si="92"/>
        <v>6.8000000000000005E-2</v>
      </c>
      <c r="AH38" s="109">
        <f t="shared" si="93"/>
        <v>520</v>
      </c>
      <c r="AI38" s="109">
        <f t="shared" si="94"/>
        <v>1400</v>
      </c>
      <c r="AJ38" s="106">
        <f t="shared" si="95"/>
        <v>7.5</v>
      </c>
      <c r="AK38" s="106" t="str">
        <f t="shared" si="96"/>
        <v>&lt;0.2</v>
      </c>
      <c r="AL38" s="106">
        <f t="shared" si="97"/>
        <v>3.6</v>
      </c>
      <c r="AM38" s="106">
        <f t="shared" si="98"/>
        <v>0.23</v>
      </c>
      <c r="AN38" s="111">
        <f t="shared" si="99"/>
        <v>0.24</v>
      </c>
      <c r="AO38" s="106" t="str">
        <f t="shared" si="100"/>
        <v>&lt;0.02</v>
      </c>
      <c r="AP38" s="111">
        <f>AN38-0.02</f>
        <v>0.22</v>
      </c>
      <c r="AQ38" s="106">
        <f t="shared" si="101"/>
        <v>9.6</v>
      </c>
      <c r="AR38" s="109">
        <f t="shared" si="102"/>
        <v>130</v>
      </c>
      <c r="AS38" s="109">
        <f t="shared" si="103"/>
        <v>46</v>
      </c>
      <c r="AT38" s="109" t="str">
        <f t="shared" si="104"/>
        <v>&lt;0.05</v>
      </c>
      <c r="AU38" s="108">
        <f t="shared" si="105"/>
        <v>4.5999999999999996</v>
      </c>
      <c r="AV38" s="110" t="str">
        <f t="shared" si="106"/>
        <v>&lt;0.2</v>
      </c>
      <c r="AW38" s="108">
        <f t="shared" si="107"/>
        <v>1.8</v>
      </c>
      <c r="AX38" s="108" t="str">
        <f t="shared" si="108"/>
        <v>&lt;0.2</v>
      </c>
      <c r="AY38" s="111" t="str">
        <f t="shared" si="109"/>
        <v>&lt;10</v>
      </c>
      <c r="AZ38" s="109">
        <v>1717006</v>
      </c>
      <c r="BA38" s="106" t="str">
        <f t="shared" si="110"/>
        <v>&lt;0.2</v>
      </c>
      <c r="BB38" s="106">
        <f t="shared" si="111"/>
        <v>3.5</v>
      </c>
      <c r="BC38" s="111">
        <f t="shared" si="112"/>
        <v>0.23</v>
      </c>
      <c r="BD38" s="111" t="str">
        <f t="shared" si="113"/>
        <v>&lt;0.2</v>
      </c>
      <c r="BE38" s="106">
        <f t="shared" si="114"/>
        <v>2.3E-2</v>
      </c>
      <c r="BF38" s="111" t="str">
        <f>BD38</f>
        <v>&lt;0.2</v>
      </c>
      <c r="BG38" s="106">
        <f t="shared" si="115"/>
        <v>8.4</v>
      </c>
      <c r="BH38" s="109">
        <f t="shared" si="116"/>
        <v>55</v>
      </c>
      <c r="BI38" s="109">
        <f t="shared" si="117"/>
        <v>38</v>
      </c>
      <c r="BJ38" s="109" t="str">
        <f t="shared" si="118"/>
        <v>&lt;0.05</v>
      </c>
      <c r="BK38" s="112">
        <f t="shared" si="119"/>
        <v>4.4000000000000004</v>
      </c>
      <c r="BL38" s="110" t="str">
        <f t="shared" si="120"/>
        <v>&lt;0.2</v>
      </c>
      <c r="BM38" s="108">
        <f t="shared" si="121"/>
        <v>1.6</v>
      </c>
      <c r="BN38" s="110" t="str">
        <f t="shared" si="122"/>
        <v>&lt;0.2</v>
      </c>
      <c r="BO38" s="113" t="str">
        <f t="shared" si="123"/>
        <v>&lt;10</v>
      </c>
    </row>
    <row r="39" spans="1:67" s="119" customFormat="1" ht="27" customHeight="1" x14ac:dyDescent="0.4">
      <c r="A39" s="120" t="s">
        <v>146</v>
      </c>
      <c r="B39" s="115" t="str">
        <f t="shared" si="0"/>
        <v>Mission Viejo</v>
      </c>
      <c r="C39" s="268">
        <v>1718001</v>
      </c>
      <c r="D39" s="118">
        <f t="shared" si="64"/>
        <v>44341.418055555558</v>
      </c>
      <c r="E39" s="118" t="s">
        <v>147</v>
      </c>
      <c r="F39" s="116">
        <f t="shared" si="65"/>
        <v>1.24</v>
      </c>
      <c r="G39" s="116">
        <f t="shared" si="66"/>
        <v>7.41</v>
      </c>
      <c r="H39" s="117">
        <f t="shared" si="67"/>
        <v>5197</v>
      </c>
      <c r="I39" s="121">
        <f t="shared" si="68"/>
        <v>7.71</v>
      </c>
      <c r="J39" s="121">
        <f t="shared" si="69"/>
        <v>22.1</v>
      </c>
      <c r="K39" s="117">
        <f t="shared" si="70"/>
        <v>350</v>
      </c>
      <c r="L39" s="117">
        <f t="shared" si="71"/>
        <v>510</v>
      </c>
      <c r="M39" s="117">
        <f t="shared" si="72"/>
        <v>300</v>
      </c>
      <c r="N39" s="117">
        <f t="shared" si="73"/>
        <v>33000</v>
      </c>
      <c r="O39" s="121">
        <f t="shared" si="74"/>
        <v>0.17</v>
      </c>
      <c r="P39" s="116">
        <f t="shared" si="75"/>
        <v>1.1000000000000001</v>
      </c>
      <c r="Q39" s="124">
        <f t="shared" si="76"/>
        <v>0.12</v>
      </c>
      <c r="R39" s="121">
        <f t="shared" si="77"/>
        <v>0.64</v>
      </c>
      <c r="S39" s="121">
        <f t="shared" si="78"/>
        <v>0.79</v>
      </c>
      <c r="T39" s="116" t="str">
        <f t="shared" si="79"/>
        <v>&lt;5.6</v>
      </c>
      <c r="U39" s="116">
        <f t="shared" si="80"/>
        <v>4.0999999999999996</v>
      </c>
      <c r="V39" s="121">
        <f t="shared" si="81"/>
        <v>8.0399999999999991</v>
      </c>
      <c r="W39" s="117">
        <f t="shared" si="82"/>
        <v>4200</v>
      </c>
      <c r="X39" s="121">
        <f t="shared" si="83"/>
        <v>0.82</v>
      </c>
      <c r="Y39" s="116" t="str">
        <f t="shared" si="84"/>
        <v>&lt;2</v>
      </c>
      <c r="Z39" s="121" t="str">
        <f t="shared" si="85"/>
        <v>&lt;2</v>
      </c>
      <c r="AA39" s="121" t="str">
        <f t="shared" si="86"/>
        <v>&lt;2</v>
      </c>
      <c r="AB39" s="116" t="str">
        <f t="shared" si="87"/>
        <v>&lt;1</v>
      </c>
      <c r="AC39" s="116" t="str">
        <f t="shared" si="88"/>
        <v>&lt;5</v>
      </c>
      <c r="AD39" s="115">
        <f t="shared" si="89"/>
        <v>530</v>
      </c>
      <c r="AE39" s="115">
        <f t="shared" si="90"/>
        <v>4.5999999999999996</v>
      </c>
      <c r="AF39" s="117">
        <f t="shared" si="91"/>
        <v>1370</v>
      </c>
      <c r="AG39" s="115" t="str">
        <f t="shared" si="92"/>
        <v>&lt;0.05</v>
      </c>
      <c r="AH39" s="117">
        <f t="shared" si="93"/>
        <v>970</v>
      </c>
      <c r="AI39" s="117">
        <f t="shared" si="94"/>
        <v>2600</v>
      </c>
      <c r="AJ39" s="115">
        <f t="shared" si="95"/>
        <v>5.9</v>
      </c>
      <c r="AK39" s="115" t="str">
        <f t="shared" si="96"/>
        <v>&lt;0.2</v>
      </c>
      <c r="AL39" s="115">
        <f t="shared" si="97"/>
        <v>2.1</v>
      </c>
      <c r="AM39" s="115">
        <f t="shared" si="98"/>
        <v>0.59</v>
      </c>
      <c r="AN39" s="124" t="str">
        <f t="shared" si="99"/>
        <v>&lt;0.2</v>
      </c>
      <c r="AO39" s="115" t="str">
        <f t="shared" si="100"/>
        <v>&lt;0.02</v>
      </c>
      <c r="AP39" s="124" t="str">
        <f>AN39</f>
        <v>&lt;0.2</v>
      </c>
      <c r="AQ39" s="216">
        <f t="shared" si="101"/>
        <v>3</v>
      </c>
      <c r="AR39" s="117">
        <f t="shared" si="102"/>
        <v>86</v>
      </c>
      <c r="AS39" s="117">
        <f t="shared" si="103"/>
        <v>140</v>
      </c>
      <c r="AT39" s="117" t="str">
        <f t="shared" si="104"/>
        <v>&lt;0.05</v>
      </c>
      <c r="AU39" s="116">
        <f t="shared" si="105"/>
        <v>4.4000000000000004</v>
      </c>
      <c r="AV39" s="121" t="str">
        <f t="shared" si="106"/>
        <v>&lt;0.2</v>
      </c>
      <c r="AW39" s="117">
        <f t="shared" si="107"/>
        <v>12</v>
      </c>
      <c r="AX39" s="116" t="str">
        <f t="shared" si="108"/>
        <v>&lt;0.2</v>
      </c>
      <c r="AY39" s="124" t="str">
        <f t="shared" si="109"/>
        <v>&lt;10</v>
      </c>
      <c r="AZ39" s="117">
        <v>1718004</v>
      </c>
      <c r="BA39" s="115" t="str">
        <f t="shared" si="110"/>
        <v>&lt;0.2</v>
      </c>
      <c r="BB39" s="216">
        <f t="shared" si="111"/>
        <v>2</v>
      </c>
      <c r="BC39" s="124">
        <f t="shared" si="112"/>
        <v>0.44</v>
      </c>
      <c r="BD39" s="124" t="str">
        <f t="shared" si="113"/>
        <v>&lt;0.2</v>
      </c>
      <c r="BE39" s="115" t="str">
        <f t="shared" si="114"/>
        <v>&lt;0.02</v>
      </c>
      <c r="BF39" s="115" t="str">
        <f>BD39</f>
        <v>&lt;0.2</v>
      </c>
      <c r="BG39" s="115">
        <f t="shared" si="115"/>
        <v>2.6</v>
      </c>
      <c r="BH39" s="117" t="str">
        <f t="shared" si="116"/>
        <v>&lt;20</v>
      </c>
      <c r="BI39" s="117">
        <f t="shared" si="117"/>
        <v>130</v>
      </c>
      <c r="BJ39" s="117" t="str">
        <f t="shared" si="118"/>
        <v>&lt;0.05</v>
      </c>
      <c r="BK39" s="216">
        <f t="shared" si="119"/>
        <v>4.3</v>
      </c>
      <c r="BL39" s="121" t="str">
        <f t="shared" si="120"/>
        <v>&lt;0.2</v>
      </c>
      <c r="BM39" s="117">
        <f t="shared" si="121"/>
        <v>12</v>
      </c>
      <c r="BN39" s="121" t="str">
        <f t="shared" si="122"/>
        <v>&lt;0.2</v>
      </c>
      <c r="BO39" s="125" t="str">
        <f t="shared" si="123"/>
        <v>&lt;10</v>
      </c>
    </row>
    <row r="40" spans="1:67" ht="27" customHeight="1" x14ac:dyDescent="0.4">
      <c r="A40" s="105" t="s">
        <v>148</v>
      </c>
      <c r="B40" s="106" t="str">
        <f t="shared" ref="B40:B58" si="124">VLOOKUP(A40, juris, 3, FALSE)</f>
        <v>Mission Viejo</v>
      </c>
      <c r="C40" s="260">
        <v>1717003</v>
      </c>
      <c r="D40" s="107">
        <f t="shared" si="64"/>
        <v>44341.42291666667</v>
      </c>
      <c r="E40" s="107"/>
      <c r="F40" s="108">
        <f t="shared" si="65"/>
        <v>1.97</v>
      </c>
      <c r="G40" s="108">
        <f t="shared" si="66"/>
        <v>8.6199999999999992</v>
      </c>
      <c r="H40" s="109">
        <f t="shared" si="67"/>
        <v>2942</v>
      </c>
      <c r="I40" s="110">
        <f t="shared" si="68"/>
        <v>7.95</v>
      </c>
      <c r="J40" s="110">
        <f t="shared" si="69"/>
        <v>20.12</v>
      </c>
      <c r="K40" s="109" t="str">
        <f t="shared" si="70"/>
        <v>&gt;=1220</v>
      </c>
      <c r="L40" s="109">
        <f t="shared" si="71"/>
        <v>2700</v>
      </c>
      <c r="M40" s="109" t="str">
        <f t="shared" si="72"/>
        <v>&gt;=1290</v>
      </c>
      <c r="N40" s="109" t="str">
        <f t="shared" si="73"/>
        <v>&gt;=8600</v>
      </c>
      <c r="O40" s="110">
        <f t="shared" si="74"/>
        <v>0.15</v>
      </c>
      <c r="P40" s="108">
        <f t="shared" si="75"/>
        <v>2.8</v>
      </c>
      <c r="Q40" s="111">
        <f t="shared" si="76"/>
        <v>0.25</v>
      </c>
      <c r="R40" s="108">
        <f t="shared" si="77"/>
        <v>1.8</v>
      </c>
      <c r="S40" s="108">
        <f t="shared" si="78"/>
        <v>1.3</v>
      </c>
      <c r="T40" s="108" t="str">
        <f t="shared" si="79"/>
        <v>&lt;6.3</v>
      </c>
      <c r="U40" s="108">
        <f t="shared" si="80"/>
        <v>3.9</v>
      </c>
      <c r="V40" s="110">
        <f t="shared" si="81"/>
        <v>8.1999999999999993</v>
      </c>
      <c r="W40" s="109">
        <f t="shared" si="82"/>
        <v>3600</v>
      </c>
      <c r="X40" s="108">
        <f t="shared" si="83"/>
        <v>1.1000000000000001</v>
      </c>
      <c r="Y40" s="108" t="str">
        <f t="shared" si="84"/>
        <v>&lt;2</v>
      </c>
      <c r="Z40" s="110" t="str">
        <f t="shared" si="85"/>
        <v>&lt;2</v>
      </c>
      <c r="AA40" s="110" t="str">
        <f t="shared" si="86"/>
        <v>&lt;2</v>
      </c>
      <c r="AB40" s="108" t="str">
        <f t="shared" si="87"/>
        <v>&lt;1</v>
      </c>
      <c r="AC40" s="108" t="str">
        <f t="shared" si="88"/>
        <v>&lt;5</v>
      </c>
      <c r="AD40" s="106">
        <f t="shared" si="89"/>
        <v>300</v>
      </c>
      <c r="AE40" s="106">
        <f t="shared" si="90"/>
        <v>8.1999999999999993</v>
      </c>
      <c r="AF40" s="109">
        <f t="shared" si="91"/>
        <v>1300</v>
      </c>
      <c r="AG40" s="106">
        <f t="shared" si="92"/>
        <v>8.3000000000000004E-2</v>
      </c>
      <c r="AH40" s="109">
        <f t="shared" si="93"/>
        <v>1100</v>
      </c>
      <c r="AI40" s="109">
        <f t="shared" si="94"/>
        <v>2300</v>
      </c>
      <c r="AJ40" s="106">
        <f t="shared" si="95"/>
        <v>9.1</v>
      </c>
      <c r="AK40" s="106" t="str">
        <f t="shared" si="96"/>
        <v>&lt;0.2</v>
      </c>
      <c r="AL40" s="106">
        <f t="shared" si="97"/>
        <v>11</v>
      </c>
      <c r="AM40" s="106">
        <f t="shared" si="98"/>
        <v>35</v>
      </c>
      <c r="AN40" s="111">
        <f t="shared" si="99"/>
        <v>0.41</v>
      </c>
      <c r="AO40" s="106">
        <f t="shared" si="100"/>
        <v>0.06</v>
      </c>
      <c r="AP40" s="111">
        <f>AN40-AO40</f>
        <v>0.35</v>
      </c>
      <c r="AQ40" s="106">
        <f t="shared" si="101"/>
        <v>6.6</v>
      </c>
      <c r="AR40" s="109" t="str">
        <f t="shared" si="102"/>
        <v>&lt;20</v>
      </c>
      <c r="AS40" s="109">
        <f t="shared" si="103"/>
        <v>78</v>
      </c>
      <c r="AT40" s="109" t="str">
        <f t="shared" si="104"/>
        <v>&lt;0.05</v>
      </c>
      <c r="AU40" s="109">
        <f t="shared" si="105"/>
        <v>87</v>
      </c>
      <c r="AV40" s="110" t="str">
        <f t="shared" si="106"/>
        <v>&lt;0.2</v>
      </c>
      <c r="AW40" s="109">
        <f t="shared" si="107"/>
        <v>49</v>
      </c>
      <c r="AX40" s="108" t="str">
        <f t="shared" si="108"/>
        <v>&lt;0.2</v>
      </c>
      <c r="AY40" s="231">
        <f t="shared" si="109"/>
        <v>26</v>
      </c>
      <c r="AZ40" s="109">
        <v>1717007</v>
      </c>
      <c r="BA40" s="106" t="str">
        <f t="shared" si="110"/>
        <v>&lt;0.2</v>
      </c>
      <c r="BB40" s="106">
        <f t="shared" si="111"/>
        <v>11</v>
      </c>
      <c r="BC40" s="106">
        <f t="shared" si="112"/>
        <v>40</v>
      </c>
      <c r="BD40" s="111">
        <f t="shared" si="113"/>
        <v>0.54</v>
      </c>
      <c r="BE40" s="106">
        <f t="shared" si="114"/>
        <v>6.2E-2</v>
      </c>
      <c r="BF40" s="111">
        <f>BD40-BE40</f>
        <v>0.47800000000000004</v>
      </c>
      <c r="BG40" s="106">
        <f t="shared" si="115"/>
        <v>9.1999999999999993</v>
      </c>
      <c r="BH40" s="109">
        <f t="shared" si="116"/>
        <v>49</v>
      </c>
      <c r="BI40" s="109">
        <f t="shared" si="117"/>
        <v>180</v>
      </c>
      <c r="BJ40" s="109" t="str">
        <f t="shared" si="118"/>
        <v>&lt;0.05</v>
      </c>
      <c r="BK40" s="231">
        <f t="shared" si="119"/>
        <v>95</v>
      </c>
      <c r="BL40" s="110" t="str">
        <f t="shared" si="120"/>
        <v>&lt;0.2</v>
      </c>
      <c r="BM40" s="109">
        <f t="shared" si="121"/>
        <v>51</v>
      </c>
      <c r="BN40" s="110" t="str">
        <f t="shared" si="122"/>
        <v>&lt;0.2</v>
      </c>
      <c r="BO40" s="113">
        <f t="shared" si="123"/>
        <v>33</v>
      </c>
    </row>
    <row r="41" spans="1:67" s="119" customFormat="1" ht="27" customHeight="1" x14ac:dyDescent="0.4">
      <c r="A41" s="105" t="s">
        <v>149</v>
      </c>
      <c r="B41" s="106" t="str">
        <f t="shared" si="124"/>
        <v>Mission Viejo</v>
      </c>
      <c r="C41" s="260">
        <v>1717004</v>
      </c>
      <c r="D41" s="107">
        <f t="shared" si="64"/>
        <v>44341.454861111109</v>
      </c>
      <c r="E41" s="107"/>
      <c r="F41" s="108">
        <f t="shared" si="65"/>
        <v>1.4</v>
      </c>
      <c r="G41" s="108">
        <f t="shared" si="66"/>
        <v>8.43</v>
      </c>
      <c r="H41" s="109">
        <f t="shared" si="67"/>
        <v>4688.2</v>
      </c>
      <c r="I41" s="110">
        <f t="shared" si="68"/>
        <v>7.84</v>
      </c>
      <c r="J41" s="110">
        <f t="shared" si="69"/>
        <v>20.52</v>
      </c>
      <c r="K41" s="109">
        <f t="shared" si="70"/>
        <v>330</v>
      </c>
      <c r="L41" s="109">
        <f t="shared" si="71"/>
        <v>640</v>
      </c>
      <c r="M41" s="109">
        <f t="shared" si="72"/>
        <v>380</v>
      </c>
      <c r="N41" s="109" t="str">
        <f t="shared" si="73"/>
        <v>&gt;=3900</v>
      </c>
      <c r="O41" s="110">
        <f t="shared" si="74"/>
        <v>0.41</v>
      </c>
      <c r="P41" s="108">
        <f t="shared" si="75"/>
        <v>3.3</v>
      </c>
      <c r="Q41" s="111">
        <f t="shared" si="76"/>
        <v>0.26</v>
      </c>
      <c r="R41" s="110">
        <f t="shared" si="77"/>
        <v>0.74</v>
      </c>
      <c r="S41" s="108">
        <f t="shared" si="78"/>
        <v>1.1000000000000001</v>
      </c>
      <c r="T41" s="108" t="str">
        <f t="shared" si="79"/>
        <v>&lt;6.3</v>
      </c>
      <c r="U41" s="108">
        <f t="shared" si="80"/>
        <v>3.5</v>
      </c>
      <c r="V41" s="110">
        <f t="shared" si="81"/>
        <v>8.09</v>
      </c>
      <c r="W41" s="109">
        <f t="shared" si="82"/>
        <v>5500</v>
      </c>
      <c r="X41" s="108">
        <f t="shared" si="83"/>
        <v>0.97</v>
      </c>
      <c r="Y41" s="108" t="str">
        <f t="shared" si="84"/>
        <v>&lt;2</v>
      </c>
      <c r="Z41" s="110" t="str">
        <f t="shared" si="85"/>
        <v>&lt;2</v>
      </c>
      <c r="AA41" s="110" t="str">
        <f t="shared" si="86"/>
        <v>&lt;2</v>
      </c>
      <c r="AB41" s="108" t="str">
        <f t="shared" si="87"/>
        <v>&lt;1</v>
      </c>
      <c r="AC41" s="108" t="str">
        <f t="shared" si="88"/>
        <v>&lt;5</v>
      </c>
      <c r="AD41" s="106">
        <f t="shared" si="89"/>
        <v>580</v>
      </c>
      <c r="AE41" s="106">
        <f t="shared" si="90"/>
        <v>5.0999999999999996</v>
      </c>
      <c r="AF41" s="109">
        <f t="shared" si="91"/>
        <v>2000</v>
      </c>
      <c r="AG41" s="106">
        <f t="shared" si="92"/>
        <v>6.2E-2</v>
      </c>
      <c r="AH41" s="109">
        <f t="shared" si="93"/>
        <v>1800</v>
      </c>
      <c r="AI41" s="109">
        <f t="shared" si="94"/>
        <v>3800</v>
      </c>
      <c r="AJ41" s="106">
        <f t="shared" si="95"/>
        <v>5.0999999999999996</v>
      </c>
      <c r="AK41" s="106" t="str">
        <f t="shared" si="96"/>
        <v>&lt;0.2</v>
      </c>
      <c r="AL41" s="106">
        <f t="shared" si="97"/>
        <v>8.1</v>
      </c>
      <c r="AM41" s="106">
        <f t="shared" si="98"/>
        <v>4.4000000000000004</v>
      </c>
      <c r="AN41" s="111">
        <f t="shared" si="99"/>
        <v>0.4</v>
      </c>
      <c r="AO41" s="106" t="str">
        <f t="shared" si="100"/>
        <v>&lt;0.02</v>
      </c>
      <c r="AP41" s="111" t="s">
        <v>121</v>
      </c>
      <c r="AQ41" s="106">
        <f t="shared" si="101"/>
        <v>4.5999999999999996</v>
      </c>
      <c r="AR41" s="109">
        <f t="shared" si="102"/>
        <v>53</v>
      </c>
      <c r="AS41" s="109">
        <f t="shared" si="103"/>
        <v>110</v>
      </c>
      <c r="AT41" s="109" t="str">
        <f t="shared" si="104"/>
        <v>&lt;0.05</v>
      </c>
      <c r="AU41" s="109">
        <f t="shared" si="105"/>
        <v>35</v>
      </c>
      <c r="AV41" s="110" t="str">
        <f t="shared" si="106"/>
        <v>&lt;0.2</v>
      </c>
      <c r="AW41" s="109">
        <f t="shared" si="107"/>
        <v>67</v>
      </c>
      <c r="AX41" s="108" t="str">
        <f t="shared" si="108"/>
        <v>&lt;0.2</v>
      </c>
      <c r="AY41" s="111" t="str">
        <f t="shared" si="109"/>
        <v>&lt;10</v>
      </c>
      <c r="AZ41" s="109">
        <v>1717008</v>
      </c>
      <c r="BA41" s="106" t="str">
        <f t="shared" si="110"/>
        <v>&lt;0.2</v>
      </c>
      <c r="BB41" s="112">
        <f t="shared" si="111"/>
        <v>8</v>
      </c>
      <c r="BC41" s="106">
        <f t="shared" si="112"/>
        <v>3.6</v>
      </c>
      <c r="BD41" s="111">
        <f t="shared" si="113"/>
        <v>0.3</v>
      </c>
      <c r="BE41" s="106" t="str">
        <f t="shared" si="114"/>
        <v>&lt;0.02</v>
      </c>
      <c r="BF41" s="106">
        <f>BD41-0.02</f>
        <v>0.27999999999999997</v>
      </c>
      <c r="BG41" s="106">
        <f t="shared" si="115"/>
        <v>4.2</v>
      </c>
      <c r="BH41" s="109" t="str">
        <f t="shared" si="116"/>
        <v>&lt;20</v>
      </c>
      <c r="BI41" s="109">
        <f t="shared" si="117"/>
        <v>100</v>
      </c>
      <c r="BJ41" s="109" t="str">
        <f t="shared" si="118"/>
        <v>&lt;0.05</v>
      </c>
      <c r="BK41" s="231">
        <f t="shared" si="119"/>
        <v>35</v>
      </c>
      <c r="BL41" s="110" t="str">
        <f t="shared" si="120"/>
        <v>&lt;0.2</v>
      </c>
      <c r="BM41" s="109">
        <f t="shared" si="121"/>
        <v>66</v>
      </c>
      <c r="BN41" s="110" t="str">
        <f t="shared" si="122"/>
        <v>&lt;0.2</v>
      </c>
      <c r="BO41" s="113" t="str">
        <f t="shared" si="123"/>
        <v>&lt;10</v>
      </c>
    </row>
    <row r="42" spans="1:67" s="119" customFormat="1" ht="27" customHeight="1" x14ac:dyDescent="0.4">
      <c r="A42" s="105" t="s">
        <v>150</v>
      </c>
      <c r="B42" s="106" t="str">
        <f t="shared" si="124"/>
        <v>Mission Viejo</v>
      </c>
      <c r="C42" s="260">
        <v>1717001</v>
      </c>
      <c r="D42" s="107">
        <f t="shared" si="64"/>
        <v>44341.503472222219</v>
      </c>
      <c r="E42" s="107"/>
      <c r="F42" s="108">
        <f t="shared" si="65"/>
        <v>1.66</v>
      </c>
      <c r="G42" s="108">
        <f t="shared" si="66"/>
        <v>8.35</v>
      </c>
      <c r="H42" s="109">
        <f t="shared" si="67"/>
        <v>3846.5</v>
      </c>
      <c r="I42" s="110">
        <f t="shared" si="68"/>
        <v>7.35</v>
      </c>
      <c r="J42" s="110">
        <f t="shared" si="69"/>
        <v>27.12</v>
      </c>
      <c r="K42" s="109">
        <f t="shared" si="70"/>
        <v>290</v>
      </c>
      <c r="L42" s="109">
        <f t="shared" si="71"/>
        <v>550</v>
      </c>
      <c r="M42" s="109">
        <f t="shared" si="72"/>
        <v>290</v>
      </c>
      <c r="N42" s="109" t="str">
        <f t="shared" si="73"/>
        <v>&gt;=5400</v>
      </c>
      <c r="O42" s="110">
        <f t="shared" si="74"/>
        <v>0.12</v>
      </c>
      <c r="P42" s="110">
        <f t="shared" si="75"/>
        <v>0.87</v>
      </c>
      <c r="Q42" s="111">
        <f t="shared" si="76"/>
        <v>0.16</v>
      </c>
      <c r="R42" s="110">
        <f t="shared" si="77"/>
        <v>0.63</v>
      </c>
      <c r="S42" s="110">
        <f t="shared" si="78"/>
        <v>0.73</v>
      </c>
      <c r="T42" s="108" t="str">
        <f t="shared" si="79"/>
        <v>&lt;6.3</v>
      </c>
      <c r="U42" s="108">
        <f t="shared" si="80"/>
        <v>2.5</v>
      </c>
      <c r="V42" s="110">
        <f t="shared" si="81"/>
        <v>7.89</v>
      </c>
      <c r="W42" s="109">
        <f t="shared" si="82"/>
        <v>4200</v>
      </c>
      <c r="X42" s="110">
        <f t="shared" si="83"/>
        <v>0.27</v>
      </c>
      <c r="Y42" s="108" t="str">
        <f t="shared" si="84"/>
        <v>&lt;2</v>
      </c>
      <c r="Z42" s="110" t="str">
        <f t="shared" si="85"/>
        <v>&lt;2</v>
      </c>
      <c r="AA42" s="110" t="str">
        <f t="shared" si="86"/>
        <v>&lt;2</v>
      </c>
      <c r="AB42" s="108" t="str">
        <f t="shared" si="87"/>
        <v>&lt;1</v>
      </c>
      <c r="AC42" s="108" t="str">
        <f t="shared" si="88"/>
        <v>&lt;5</v>
      </c>
      <c r="AD42" s="106">
        <f t="shared" si="89"/>
        <v>310</v>
      </c>
      <c r="AE42" s="106">
        <f t="shared" si="90"/>
        <v>5.0999999999999996</v>
      </c>
      <c r="AF42" s="109">
        <f t="shared" si="91"/>
        <v>1690</v>
      </c>
      <c r="AG42" s="106">
        <f t="shared" si="92"/>
        <v>6.5000000000000002E-2</v>
      </c>
      <c r="AH42" s="109">
        <f t="shared" si="93"/>
        <v>1500</v>
      </c>
      <c r="AI42" s="109">
        <f t="shared" si="94"/>
        <v>2900</v>
      </c>
      <c r="AJ42" s="106">
        <f t="shared" si="95"/>
        <v>5.7</v>
      </c>
      <c r="AK42" s="106" t="str">
        <f t="shared" si="96"/>
        <v>&lt;0.2</v>
      </c>
      <c r="AL42" s="106">
        <f t="shared" si="97"/>
        <v>5.2</v>
      </c>
      <c r="AM42" s="106">
        <f t="shared" si="98"/>
        <v>1.1000000000000001</v>
      </c>
      <c r="AN42" s="111" t="str">
        <f t="shared" si="99"/>
        <v>&lt;0.2</v>
      </c>
      <c r="AO42" s="106" t="str">
        <f t="shared" si="100"/>
        <v>&lt;0.02</v>
      </c>
      <c r="AP42" s="111" t="str">
        <f>AN42</f>
        <v>&lt;0.2</v>
      </c>
      <c r="AQ42" s="106">
        <f t="shared" si="101"/>
        <v>3.1</v>
      </c>
      <c r="AR42" s="109">
        <f t="shared" si="102"/>
        <v>20</v>
      </c>
      <c r="AS42" s="109">
        <f t="shared" si="103"/>
        <v>130</v>
      </c>
      <c r="AT42" s="109" t="str">
        <f t="shared" si="104"/>
        <v>&lt;0.05</v>
      </c>
      <c r="AU42" s="109">
        <f t="shared" si="105"/>
        <v>15</v>
      </c>
      <c r="AV42" s="110" t="str">
        <f t="shared" si="106"/>
        <v>&lt;0.2</v>
      </c>
      <c r="AW42" s="109">
        <f t="shared" si="107"/>
        <v>25</v>
      </c>
      <c r="AX42" s="108" t="str">
        <f t="shared" si="108"/>
        <v>&lt;0.2</v>
      </c>
      <c r="AY42" s="111" t="str">
        <f t="shared" si="109"/>
        <v>&lt;10</v>
      </c>
      <c r="AZ42" s="109">
        <v>1717005</v>
      </c>
      <c r="BA42" s="106" t="str">
        <f t="shared" si="110"/>
        <v>&lt;0.2</v>
      </c>
      <c r="BB42" s="112">
        <f t="shared" si="111"/>
        <v>5</v>
      </c>
      <c r="BC42" s="112">
        <f t="shared" si="112"/>
        <v>1</v>
      </c>
      <c r="BD42" s="111" t="str">
        <f t="shared" si="113"/>
        <v>&lt;0.2</v>
      </c>
      <c r="BE42" s="106" t="str">
        <f t="shared" si="114"/>
        <v>&lt;0.02</v>
      </c>
      <c r="BF42" s="106" t="str">
        <f>BD42</f>
        <v>&lt;0.2</v>
      </c>
      <c r="BG42" s="106">
        <f t="shared" si="115"/>
        <v>3.3</v>
      </c>
      <c r="BH42" s="109" t="str">
        <f t="shared" si="116"/>
        <v>&lt;20</v>
      </c>
      <c r="BI42" s="109">
        <f t="shared" si="117"/>
        <v>130</v>
      </c>
      <c r="BJ42" s="109" t="str">
        <f t="shared" si="118"/>
        <v>&lt;0.05</v>
      </c>
      <c r="BK42" s="231">
        <f t="shared" si="119"/>
        <v>14</v>
      </c>
      <c r="BL42" s="110" t="str">
        <f t="shared" si="120"/>
        <v>&lt;0.2</v>
      </c>
      <c r="BM42" s="109">
        <f t="shared" si="121"/>
        <v>25</v>
      </c>
      <c r="BN42" s="110" t="str">
        <f t="shared" si="122"/>
        <v>&lt;0.2</v>
      </c>
      <c r="BO42" s="113" t="str">
        <f t="shared" si="123"/>
        <v>&lt;10</v>
      </c>
    </row>
    <row r="43" spans="1:67" s="119" customFormat="1" ht="27" customHeight="1" x14ac:dyDescent="0.4">
      <c r="A43" s="105" t="s">
        <v>151</v>
      </c>
      <c r="B43" s="106" t="str">
        <f t="shared" si="124"/>
        <v>Rancho Santa Margarita</v>
      </c>
      <c r="C43" s="260">
        <v>1756001</v>
      </c>
      <c r="D43" s="107">
        <f t="shared" si="64"/>
        <v>44350.357638888891</v>
      </c>
      <c r="E43" s="107"/>
      <c r="F43" s="135" t="s">
        <v>120</v>
      </c>
      <c r="G43" s="108">
        <f t="shared" si="66"/>
        <v>8.4</v>
      </c>
      <c r="H43" s="109">
        <f t="shared" si="67"/>
        <v>2325.87</v>
      </c>
      <c r="I43" s="110">
        <f t="shared" si="68"/>
        <v>8.2100000000000009</v>
      </c>
      <c r="J43" s="110">
        <f t="shared" si="69"/>
        <v>20.39</v>
      </c>
      <c r="K43" s="109" t="str">
        <f t="shared" si="70"/>
        <v>&gt;=2500</v>
      </c>
      <c r="L43" s="109">
        <f t="shared" si="71"/>
        <v>8600</v>
      </c>
      <c r="M43" s="109" t="str">
        <f t="shared" si="72"/>
        <v>&gt;=2200</v>
      </c>
      <c r="N43" s="109" t="str">
        <f t="shared" si="73"/>
        <v>&gt;=39000</v>
      </c>
      <c r="O43" s="110" t="str">
        <f t="shared" si="74"/>
        <v>&lt;0.1</v>
      </c>
      <c r="P43" s="108">
        <f t="shared" si="75"/>
        <v>2.9</v>
      </c>
      <c r="Q43" s="111">
        <f t="shared" si="76"/>
        <v>0.38</v>
      </c>
      <c r="R43" s="108">
        <f t="shared" si="77"/>
        <v>1.9</v>
      </c>
      <c r="S43" s="108">
        <f t="shared" si="78"/>
        <v>1.8</v>
      </c>
      <c r="T43" s="108" t="str">
        <f t="shared" si="79"/>
        <v>&lt;5.6</v>
      </c>
      <c r="U43" s="108">
        <f t="shared" si="80"/>
        <v>1</v>
      </c>
      <c r="V43" s="110">
        <f t="shared" si="81"/>
        <v>8.07</v>
      </c>
      <c r="W43" s="109">
        <f t="shared" si="82"/>
        <v>1700</v>
      </c>
      <c r="X43" s="108">
        <f t="shared" si="83"/>
        <v>2</v>
      </c>
      <c r="Y43" s="108" t="str">
        <f t="shared" si="84"/>
        <v>&lt;2</v>
      </c>
      <c r="Z43" s="110" t="str">
        <f t="shared" si="85"/>
        <v>&lt;2</v>
      </c>
      <c r="AA43" s="110" t="str">
        <f t="shared" si="86"/>
        <v>&lt;2</v>
      </c>
      <c r="AB43" s="108" t="str">
        <f t="shared" si="87"/>
        <v>&lt;1</v>
      </c>
      <c r="AC43" s="108" t="str">
        <f t="shared" si="88"/>
        <v>&lt;5</v>
      </c>
      <c r="AD43" s="106">
        <f t="shared" si="89"/>
        <v>180</v>
      </c>
      <c r="AE43" s="106">
        <f t="shared" si="90"/>
        <v>13</v>
      </c>
      <c r="AF43" s="109">
        <f t="shared" si="91"/>
        <v>520</v>
      </c>
      <c r="AG43" s="106">
        <f t="shared" si="92"/>
        <v>0.06</v>
      </c>
      <c r="AH43" s="109">
        <f t="shared" si="93"/>
        <v>370</v>
      </c>
      <c r="AI43" s="109">
        <f t="shared" si="94"/>
        <v>1000</v>
      </c>
      <c r="AJ43" s="106">
        <f t="shared" si="95"/>
        <v>15</v>
      </c>
      <c r="AK43" s="106" t="str">
        <f t="shared" si="96"/>
        <v>&lt;0.2</v>
      </c>
      <c r="AL43" s="106">
        <f t="shared" si="97"/>
        <v>1.9</v>
      </c>
      <c r="AM43" s="106" t="str">
        <f t="shared" si="98"/>
        <v>&lt;0.2</v>
      </c>
      <c r="AN43" s="111">
        <f t="shared" si="99"/>
        <v>0.22</v>
      </c>
      <c r="AO43" s="106">
        <f t="shared" si="100"/>
        <v>5.1999999999999998E-2</v>
      </c>
      <c r="AP43" s="111">
        <f>AN43-AO43</f>
        <v>0.16800000000000001</v>
      </c>
      <c r="AQ43" s="106">
        <f t="shared" si="101"/>
        <v>5.2</v>
      </c>
      <c r="AR43" s="109">
        <f t="shared" si="102"/>
        <v>53</v>
      </c>
      <c r="AS43" s="108">
        <f t="shared" si="103"/>
        <v>7.2</v>
      </c>
      <c r="AT43" s="109" t="str">
        <f t="shared" si="104"/>
        <v>&lt;0.05</v>
      </c>
      <c r="AU43" s="108" t="str">
        <f t="shared" si="105"/>
        <v>&lt;2</v>
      </c>
      <c r="AV43" s="110" t="str">
        <f t="shared" si="106"/>
        <v>&lt;0.2</v>
      </c>
      <c r="AW43" s="108">
        <f t="shared" si="107"/>
        <v>1.1000000000000001</v>
      </c>
      <c r="AX43" s="108" t="str">
        <f t="shared" si="108"/>
        <v>&lt;0.2</v>
      </c>
      <c r="AY43" s="111" t="str">
        <f t="shared" si="109"/>
        <v>&lt;10</v>
      </c>
      <c r="AZ43" s="109">
        <v>1756006</v>
      </c>
      <c r="BA43" s="106" t="str">
        <f t="shared" si="110"/>
        <v>&lt;0.2</v>
      </c>
      <c r="BB43" s="106">
        <f t="shared" si="111"/>
        <v>1.8</v>
      </c>
      <c r="BC43" s="106" t="str">
        <f t="shared" si="112"/>
        <v>&lt;0.2</v>
      </c>
      <c r="BD43" s="111" t="str">
        <f t="shared" si="113"/>
        <v>&lt;0.2</v>
      </c>
      <c r="BE43" s="106">
        <f t="shared" si="114"/>
        <v>5.2999999999999999E-2</v>
      </c>
      <c r="BF43" s="111" t="str">
        <f>BD43</f>
        <v>&lt;0.2</v>
      </c>
      <c r="BG43" s="106">
        <f t="shared" si="115"/>
        <v>4.7</v>
      </c>
      <c r="BH43" s="109">
        <f t="shared" si="116"/>
        <v>26</v>
      </c>
      <c r="BI43" s="108">
        <f t="shared" si="117"/>
        <v>5.9</v>
      </c>
      <c r="BJ43" s="109" t="str">
        <f t="shared" si="118"/>
        <v>&lt;0.05</v>
      </c>
      <c r="BK43" s="112" t="str">
        <f t="shared" si="119"/>
        <v>&lt;2</v>
      </c>
      <c r="BL43" s="110" t="str">
        <f t="shared" si="120"/>
        <v>&lt;0.2</v>
      </c>
      <c r="BM43" s="108">
        <f t="shared" si="121"/>
        <v>1.1000000000000001</v>
      </c>
      <c r="BN43" s="110" t="str">
        <f t="shared" si="122"/>
        <v>&lt;0.2</v>
      </c>
      <c r="BO43" s="113" t="str">
        <f t="shared" si="123"/>
        <v>&lt;10</v>
      </c>
    </row>
    <row r="44" spans="1:67" s="119" customFormat="1" ht="27" customHeight="1" x14ac:dyDescent="0.4">
      <c r="A44" s="105" t="s">
        <v>152</v>
      </c>
      <c r="B44" s="115" t="str">
        <f t="shared" si="124"/>
        <v>Rancho Santa Margarita</v>
      </c>
      <c r="C44" s="260">
        <v>1756005</v>
      </c>
      <c r="D44" s="107">
        <f t="shared" si="64"/>
        <v>44350.365972222222</v>
      </c>
      <c r="E44" s="107"/>
      <c r="F44" s="108">
        <f t="shared" ref="F44:F53" si="125">VLOOKUP($C44, WaterQuality, 119, FALSE)</f>
        <v>1.1200000000000001</v>
      </c>
      <c r="G44" s="108">
        <f t="shared" si="66"/>
        <v>8.61</v>
      </c>
      <c r="H44" s="109">
        <f t="shared" si="67"/>
        <v>1368.5</v>
      </c>
      <c r="I44" s="110">
        <f t="shared" si="68"/>
        <v>7.91</v>
      </c>
      <c r="J44" s="110">
        <f t="shared" si="69"/>
        <v>19.61</v>
      </c>
      <c r="K44" s="109">
        <f t="shared" si="70"/>
        <v>4900</v>
      </c>
      <c r="L44" s="109">
        <f t="shared" si="71"/>
        <v>9500</v>
      </c>
      <c r="M44" s="109" t="str">
        <f t="shared" si="72"/>
        <v>&gt;=4600</v>
      </c>
      <c r="N44" s="109" t="str">
        <f t="shared" si="73"/>
        <v>&gt;=24000</v>
      </c>
      <c r="O44" s="110" t="str">
        <f t="shared" si="74"/>
        <v>&lt;0.1</v>
      </c>
      <c r="P44" s="108">
        <f t="shared" si="75"/>
        <v>1.1000000000000001</v>
      </c>
      <c r="Q44" s="111">
        <f t="shared" si="76"/>
        <v>0.24</v>
      </c>
      <c r="R44" s="110">
        <f t="shared" si="77"/>
        <v>0.72</v>
      </c>
      <c r="S44" s="108">
        <f t="shared" si="78"/>
        <v>1.1000000000000001</v>
      </c>
      <c r="T44" s="108" t="str">
        <f t="shared" si="79"/>
        <v>&lt;5.3</v>
      </c>
      <c r="U44" s="108">
        <f t="shared" si="80"/>
        <v>1.5</v>
      </c>
      <c r="V44" s="110">
        <f t="shared" si="81"/>
        <v>7.9</v>
      </c>
      <c r="W44" s="109">
        <f t="shared" si="82"/>
        <v>1500</v>
      </c>
      <c r="X44" s="108">
        <f t="shared" si="83"/>
        <v>1.2</v>
      </c>
      <c r="Y44" s="108" t="str">
        <f t="shared" si="84"/>
        <v>&lt;2</v>
      </c>
      <c r="Z44" s="110" t="str">
        <f t="shared" si="85"/>
        <v>&lt;2</v>
      </c>
      <c r="AA44" s="110" t="str">
        <f t="shared" si="86"/>
        <v>&lt;2</v>
      </c>
      <c r="AB44" s="108" t="str">
        <f t="shared" si="87"/>
        <v>&lt;1</v>
      </c>
      <c r="AC44" s="108" t="str">
        <f t="shared" si="88"/>
        <v>&lt;5</v>
      </c>
      <c r="AD44" s="106">
        <f t="shared" si="89"/>
        <v>150</v>
      </c>
      <c r="AE44" s="106">
        <f t="shared" si="90"/>
        <v>6</v>
      </c>
      <c r="AF44" s="109">
        <f t="shared" si="91"/>
        <v>436</v>
      </c>
      <c r="AG44" s="106" t="str">
        <f t="shared" si="92"/>
        <v>&lt;0.05</v>
      </c>
      <c r="AH44" s="109">
        <f t="shared" si="93"/>
        <v>370</v>
      </c>
      <c r="AI44" s="109">
        <f t="shared" si="94"/>
        <v>830</v>
      </c>
      <c r="AJ44" s="106">
        <f t="shared" si="95"/>
        <v>7.9</v>
      </c>
      <c r="AK44" s="106" t="str">
        <f t="shared" si="96"/>
        <v>&lt;0.2</v>
      </c>
      <c r="AL44" s="106">
        <f t="shared" si="97"/>
        <v>2.9</v>
      </c>
      <c r="AM44" s="106" t="str">
        <f t="shared" si="98"/>
        <v>&lt;0.2</v>
      </c>
      <c r="AN44" s="111">
        <f t="shared" si="99"/>
        <v>0.24</v>
      </c>
      <c r="AO44" s="106">
        <f t="shared" si="100"/>
        <v>8.4000000000000005E-2</v>
      </c>
      <c r="AP44" s="111">
        <f>AN44-AO44</f>
        <v>0.15599999999999997</v>
      </c>
      <c r="AQ44" s="106">
        <f t="shared" si="101"/>
        <v>5.9</v>
      </c>
      <c r="AR44" s="109">
        <f t="shared" si="102"/>
        <v>75</v>
      </c>
      <c r="AS44" s="109">
        <f t="shared" si="103"/>
        <v>13</v>
      </c>
      <c r="AT44" s="109" t="str">
        <f t="shared" si="104"/>
        <v>&lt;0.05</v>
      </c>
      <c r="AU44" s="108" t="str">
        <f t="shared" si="105"/>
        <v>&lt;2</v>
      </c>
      <c r="AV44" s="110" t="str">
        <f t="shared" si="106"/>
        <v>&lt;0.2</v>
      </c>
      <c r="AW44" s="108">
        <f t="shared" si="107"/>
        <v>1.5</v>
      </c>
      <c r="AX44" s="108" t="str">
        <f t="shared" si="108"/>
        <v>&lt;0.2</v>
      </c>
      <c r="AY44" s="111" t="str">
        <f t="shared" si="109"/>
        <v>&lt;10</v>
      </c>
      <c r="AZ44" s="109">
        <v>1756010</v>
      </c>
      <c r="BA44" s="106" t="str">
        <f t="shared" si="110"/>
        <v>&lt;0.2</v>
      </c>
      <c r="BB44" s="106">
        <f t="shared" si="111"/>
        <v>2.9</v>
      </c>
      <c r="BC44" s="106" t="str">
        <f t="shared" si="112"/>
        <v>&lt;0.2</v>
      </c>
      <c r="BD44" s="111" t="str">
        <f t="shared" si="113"/>
        <v>&lt;0.2</v>
      </c>
      <c r="BE44" s="111">
        <f t="shared" si="114"/>
        <v>0.1</v>
      </c>
      <c r="BF44" s="106" t="s">
        <v>153</v>
      </c>
      <c r="BG44" s="106">
        <f t="shared" si="115"/>
        <v>5.0999999999999996</v>
      </c>
      <c r="BH44" s="109" t="str">
        <f t="shared" si="116"/>
        <v>&lt;20</v>
      </c>
      <c r="BI44" s="109">
        <f t="shared" si="117"/>
        <v>11</v>
      </c>
      <c r="BJ44" s="109" t="str">
        <f t="shared" si="118"/>
        <v>&lt;0.05</v>
      </c>
      <c r="BK44" s="112" t="str">
        <f t="shared" si="119"/>
        <v>&lt;2</v>
      </c>
      <c r="BL44" s="110" t="str">
        <f t="shared" si="120"/>
        <v>&lt;0.2</v>
      </c>
      <c r="BM44" s="108">
        <f t="shared" si="121"/>
        <v>1.6</v>
      </c>
      <c r="BN44" s="110" t="str">
        <f t="shared" si="122"/>
        <v>&lt;0.2</v>
      </c>
      <c r="BO44" s="113" t="str">
        <f t="shared" si="123"/>
        <v>&lt;10</v>
      </c>
    </row>
    <row r="45" spans="1:67" s="119" customFormat="1" ht="27" customHeight="1" x14ac:dyDescent="0.4">
      <c r="A45" s="105" t="s">
        <v>154</v>
      </c>
      <c r="B45" s="106" t="str">
        <f t="shared" si="124"/>
        <v>Rancho Santa Margarita</v>
      </c>
      <c r="C45" s="260">
        <v>1756003</v>
      </c>
      <c r="D45" s="107">
        <f t="shared" si="64"/>
        <v>44350.412499999999</v>
      </c>
      <c r="E45" s="107"/>
      <c r="F45" s="108">
        <f t="shared" si="125"/>
        <v>1.1499999999999999</v>
      </c>
      <c r="G45" s="108">
        <f t="shared" si="66"/>
        <v>8.93</v>
      </c>
      <c r="H45" s="109">
        <f t="shared" si="67"/>
        <v>1550.5</v>
      </c>
      <c r="I45" s="110">
        <f t="shared" si="68"/>
        <v>8.3800000000000008</v>
      </c>
      <c r="J45" s="110">
        <f t="shared" si="69"/>
        <v>18.89</v>
      </c>
      <c r="K45" s="109">
        <f t="shared" si="70"/>
        <v>5400</v>
      </c>
      <c r="L45" s="109">
        <f t="shared" si="71"/>
        <v>4200</v>
      </c>
      <c r="M45" s="109">
        <f t="shared" si="72"/>
        <v>3900</v>
      </c>
      <c r="N45" s="109" t="str">
        <f t="shared" si="73"/>
        <v>&gt;=12500</v>
      </c>
      <c r="O45" s="110" t="str">
        <f t="shared" si="74"/>
        <v>&lt;0.1</v>
      </c>
      <c r="P45" s="108">
        <f t="shared" si="75"/>
        <v>1.5</v>
      </c>
      <c r="Q45" s="111">
        <f t="shared" si="76"/>
        <v>0.4</v>
      </c>
      <c r="R45" s="108">
        <f t="shared" si="77"/>
        <v>1</v>
      </c>
      <c r="S45" s="108">
        <f t="shared" si="78"/>
        <v>1.9</v>
      </c>
      <c r="T45" s="108" t="str">
        <f t="shared" si="79"/>
        <v>&lt;5.6</v>
      </c>
      <c r="U45" s="108">
        <f t="shared" si="80"/>
        <v>1</v>
      </c>
      <c r="V45" s="110">
        <f t="shared" si="81"/>
        <v>8.2200000000000006</v>
      </c>
      <c r="W45" s="109">
        <f t="shared" si="82"/>
        <v>1700</v>
      </c>
      <c r="X45" s="108">
        <f t="shared" si="83"/>
        <v>0.98</v>
      </c>
      <c r="Y45" s="108" t="str">
        <f t="shared" si="84"/>
        <v>&lt;2</v>
      </c>
      <c r="Z45" s="110" t="str">
        <f t="shared" si="85"/>
        <v>&lt;2</v>
      </c>
      <c r="AA45" s="110" t="str">
        <f t="shared" si="86"/>
        <v>&lt;2</v>
      </c>
      <c r="AB45" s="108" t="str">
        <f t="shared" si="87"/>
        <v>&lt;1</v>
      </c>
      <c r="AC45" s="108" t="str">
        <f t="shared" si="88"/>
        <v>&lt;5</v>
      </c>
      <c r="AD45" s="106">
        <f t="shared" si="89"/>
        <v>210</v>
      </c>
      <c r="AE45" s="106">
        <f t="shared" si="90"/>
        <v>8.3000000000000007</v>
      </c>
      <c r="AF45" s="109">
        <f t="shared" si="91"/>
        <v>435</v>
      </c>
      <c r="AG45" s="106">
        <f t="shared" si="92"/>
        <v>0.06</v>
      </c>
      <c r="AH45" s="109">
        <f t="shared" si="93"/>
        <v>320</v>
      </c>
      <c r="AI45" s="109">
        <f t="shared" si="94"/>
        <v>930</v>
      </c>
      <c r="AJ45" s="106">
        <f t="shared" si="95"/>
        <v>9.1999999999999993</v>
      </c>
      <c r="AK45" s="106" t="str">
        <f t="shared" si="96"/>
        <v>&lt;0.2</v>
      </c>
      <c r="AL45" s="106">
        <f t="shared" si="97"/>
        <v>2.1</v>
      </c>
      <c r="AM45" s="106" t="str">
        <f t="shared" si="98"/>
        <v>&lt;0.2</v>
      </c>
      <c r="AN45" s="111">
        <f t="shared" si="99"/>
        <v>0.23</v>
      </c>
      <c r="AO45" s="106">
        <f t="shared" si="100"/>
        <v>7.0000000000000007E-2</v>
      </c>
      <c r="AP45" s="111">
        <f>AN45-AO45</f>
        <v>0.16</v>
      </c>
      <c r="AQ45" s="106">
        <f t="shared" si="101"/>
        <v>11</v>
      </c>
      <c r="AR45" s="109">
        <f t="shared" si="102"/>
        <v>170</v>
      </c>
      <c r="AS45" s="109">
        <f t="shared" si="103"/>
        <v>11</v>
      </c>
      <c r="AT45" s="109" t="str">
        <f t="shared" si="104"/>
        <v>&lt;0.05</v>
      </c>
      <c r="AU45" s="108" t="str">
        <f t="shared" si="105"/>
        <v>&lt;2</v>
      </c>
      <c r="AV45" s="110" t="str">
        <f t="shared" si="106"/>
        <v>&lt;0.2</v>
      </c>
      <c r="AW45" s="108">
        <f t="shared" si="107"/>
        <v>1.1000000000000001</v>
      </c>
      <c r="AX45" s="108" t="str">
        <f t="shared" si="108"/>
        <v>&lt;0.2</v>
      </c>
      <c r="AY45" s="111" t="str">
        <f t="shared" si="109"/>
        <v>&lt;10</v>
      </c>
      <c r="AZ45" s="109">
        <v>1756008</v>
      </c>
      <c r="BA45" s="106" t="str">
        <f t="shared" si="110"/>
        <v>&lt;0.2</v>
      </c>
      <c r="BB45" s="106">
        <f t="shared" si="111"/>
        <v>2.1</v>
      </c>
      <c r="BC45" s="106" t="str">
        <f t="shared" si="112"/>
        <v>&lt;0.2</v>
      </c>
      <c r="BD45" s="111" t="str">
        <f t="shared" si="113"/>
        <v>&lt;0.2</v>
      </c>
      <c r="BE45" s="106">
        <f t="shared" si="114"/>
        <v>6.9000000000000006E-2</v>
      </c>
      <c r="BF45" s="106" t="s">
        <v>153</v>
      </c>
      <c r="BG45" s="106">
        <f t="shared" si="115"/>
        <v>9.5</v>
      </c>
      <c r="BH45" s="109">
        <f t="shared" si="116"/>
        <v>93</v>
      </c>
      <c r="BI45" s="108">
        <f t="shared" si="117"/>
        <v>2.6</v>
      </c>
      <c r="BJ45" s="109" t="str">
        <f t="shared" si="118"/>
        <v>&lt;0.05</v>
      </c>
      <c r="BK45" s="112" t="str">
        <f t="shared" si="119"/>
        <v>&lt;2</v>
      </c>
      <c r="BL45" s="110" t="str">
        <f t="shared" si="120"/>
        <v>&lt;0.2</v>
      </c>
      <c r="BM45" s="108">
        <f t="shared" si="121"/>
        <v>1.1000000000000001</v>
      </c>
      <c r="BN45" s="110" t="str">
        <f t="shared" si="122"/>
        <v>&lt;0.2</v>
      </c>
      <c r="BO45" s="113" t="str">
        <f t="shared" si="123"/>
        <v>&lt;10</v>
      </c>
    </row>
    <row r="46" spans="1:67" s="119" customFormat="1" ht="27" customHeight="1" x14ac:dyDescent="0.4">
      <c r="A46" s="105" t="s">
        <v>155</v>
      </c>
      <c r="B46" s="106" t="str">
        <f t="shared" si="124"/>
        <v>Rancho Santa Margarita</v>
      </c>
      <c r="C46" s="260">
        <v>1756002</v>
      </c>
      <c r="D46" s="107">
        <f t="shared" si="64"/>
        <v>44350.415277777778</v>
      </c>
      <c r="E46" s="107"/>
      <c r="F46" s="108">
        <f t="shared" si="125"/>
        <v>1.71</v>
      </c>
      <c r="G46" s="108">
        <f t="shared" si="66"/>
        <v>8.99</v>
      </c>
      <c r="H46" s="109">
        <f t="shared" si="67"/>
        <v>1401.3</v>
      </c>
      <c r="I46" s="110">
        <f t="shared" si="68"/>
        <v>8.24</v>
      </c>
      <c r="J46" s="110">
        <f t="shared" si="69"/>
        <v>18</v>
      </c>
      <c r="K46" s="109">
        <f t="shared" si="70"/>
        <v>3300</v>
      </c>
      <c r="L46" s="109">
        <f t="shared" si="71"/>
        <v>130000</v>
      </c>
      <c r="M46" s="109" t="str">
        <f t="shared" si="72"/>
        <v>&gt;=4400</v>
      </c>
      <c r="N46" s="109" t="str">
        <f t="shared" si="73"/>
        <v>&gt;=21000</v>
      </c>
      <c r="O46" s="110">
        <f t="shared" si="74"/>
        <v>0.57999999999999996</v>
      </c>
      <c r="P46" s="108">
        <f t="shared" si="75"/>
        <v>3.1</v>
      </c>
      <c r="Q46" s="111">
        <f t="shared" si="76"/>
        <v>0.26</v>
      </c>
      <c r="R46" s="108">
        <f t="shared" si="77"/>
        <v>1.7</v>
      </c>
      <c r="S46" s="108">
        <f t="shared" si="78"/>
        <v>1.4</v>
      </c>
      <c r="T46" s="108" t="str">
        <f t="shared" si="79"/>
        <v>&lt;5.6</v>
      </c>
      <c r="U46" s="108">
        <f t="shared" si="80"/>
        <v>1.2</v>
      </c>
      <c r="V46" s="110">
        <f t="shared" si="81"/>
        <v>8.0299999999999994</v>
      </c>
      <c r="W46" s="109">
        <f t="shared" si="82"/>
        <v>1500</v>
      </c>
      <c r="X46" s="110">
        <f t="shared" si="83"/>
        <v>0.9</v>
      </c>
      <c r="Y46" s="108" t="str">
        <f t="shared" si="84"/>
        <v>&lt;2</v>
      </c>
      <c r="Z46" s="110" t="str">
        <f t="shared" si="85"/>
        <v>&lt;2</v>
      </c>
      <c r="AA46" s="110" t="str">
        <f t="shared" si="86"/>
        <v>&lt;2</v>
      </c>
      <c r="AB46" s="108" t="str">
        <f t="shared" si="87"/>
        <v>&lt;1</v>
      </c>
      <c r="AC46" s="108" t="str">
        <f t="shared" si="88"/>
        <v>&lt;5</v>
      </c>
      <c r="AD46" s="106">
        <f t="shared" si="89"/>
        <v>160</v>
      </c>
      <c r="AE46" s="106">
        <f t="shared" si="90"/>
        <v>7.7</v>
      </c>
      <c r="AF46" s="109">
        <f t="shared" si="91"/>
        <v>417</v>
      </c>
      <c r="AG46" s="106">
        <f t="shared" si="92"/>
        <v>6.2E-2</v>
      </c>
      <c r="AH46" s="109">
        <f t="shared" si="93"/>
        <v>330</v>
      </c>
      <c r="AI46" s="109">
        <f t="shared" si="94"/>
        <v>880</v>
      </c>
      <c r="AJ46" s="106">
        <f t="shared" si="95"/>
        <v>9.8000000000000007</v>
      </c>
      <c r="AK46" s="106" t="str">
        <f t="shared" si="96"/>
        <v>&lt;0.2</v>
      </c>
      <c r="AL46" s="106">
        <f t="shared" si="97"/>
        <v>1.6</v>
      </c>
      <c r="AM46" s="106" t="str">
        <f t="shared" si="98"/>
        <v>&lt;0.2</v>
      </c>
      <c r="AN46" s="111">
        <f t="shared" si="99"/>
        <v>0.63</v>
      </c>
      <c r="AO46" s="106">
        <f t="shared" si="100"/>
        <v>0.46</v>
      </c>
      <c r="AP46" s="111">
        <f>AN46-AO46</f>
        <v>0.16999999999999998</v>
      </c>
      <c r="AQ46" s="106">
        <f t="shared" si="101"/>
        <v>6.8</v>
      </c>
      <c r="AR46" s="109">
        <f t="shared" si="102"/>
        <v>90</v>
      </c>
      <c r="AS46" s="108">
        <f t="shared" si="103"/>
        <v>9.1</v>
      </c>
      <c r="AT46" s="109" t="str">
        <f t="shared" si="104"/>
        <v>&lt;0.05</v>
      </c>
      <c r="AU46" s="108" t="str">
        <f t="shared" si="105"/>
        <v>&lt;2</v>
      </c>
      <c r="AV46" s="110" t="str">
        <f t="shared" si="106"/>
        <v>&lt;0.2</v>
      </c>
      <c r="AW46" s="108">
        <f t="shared" si="107"/>
        <v>1.1000000000000001</v>
      </c>
      <c r="AX46" s="108" t="str">
        <f t="shared" si="108"/>
        <v>&lt;0.2</v>
      </c>
      <c r="AY46" s="231">
        <f t="shared" si="109"/>
        <v>21</v>
      </c>
      <c r="AZ46" s="109">
        <v>1756007</v>
      </c>
      <c r="BA46" s="106" t="str">
        <f t="shared" si="110"/>
        <v>&lt;0.2</v>
      </c>
      <c r="BB46" s="106">
        <f t="shared" si="111"/>
        <v>1.7</v>
      </c>
      <c r="BC46" s="106" t="str">
        <f t="shared" si="112"/>
        <v>&lt;0.2</v>
      </c>
      <c r="BD46" s="111">
        <f t="shared" si="113"/>
        <v>0.56000000000000005</v>
      </c>
      <c r="BE46" s="106">
        <f t="shared" si="114"/>
        <v>0.46</v>
      </c>
      <c r="BF46" s="111">
        <f>BD46-BE46</f>
        <v>0.10000000000000003</v>
      </c>
      <c r="BG46" s="106">
        <f t="shared" si="115"/>
        <v>4.9000000000000004</v>
      </c>
      <c r="BH46" s="109" t="str">
        <f t="shared" si="116"/>
        <v>&lt;20</v>
      </c>
      <c r="BI46" s="108">
        <f t="shared" si="117"/>
        <v>4.5</v>
      </c>
      <c r="BJ46" s="109" t="str">
        <f t="shared" si="118"/>
        <v>&lt;0.05</v>
      </c>
      <c r="BK46" s="112" t="str">
        <f t="shared" si="119"/>
        <v>&lt;2</v>
      </c>
      <c r="BL46" s="110" t="str">
        <f t="shared" si="120"/>
        <v>&lt;0.2</v>
      </c>
      <c r="BM46" s="108">
        <f t="shared" si="121"/>
        <v>1</v>
      </c>
      <c r="BN46" s="110" t="str">
        <f t="shared" si="122"/>
        <v>&lt;0.2</v>
      </c>
      <c r="BO46" s="113">
        <f t="shared" si="123"/>
        <v>15</v>
      </c>
    </row>
    <row r="47" spans="1:67" s="119" customFormat="1" ht="27" customHeight="1" x14ac:dyDescent="0.4">
      <c r="A47" s="105" t="s">
        <v>156</v>
      </c>
      <c r="B47" s="115" t="str">
        <f t="shared" si="124"/>
        <v>Rancho Santa Margarita</v>
      </c>
      <c r="C47" s="260">
        <v>1756004</v>
      </c>
      <c r="D47" s="107">
        <f t="shared" si="64"/>
        <v>44350.429861111108</v>
      </c>
      <c r="E47" s="107"/>
      <c r="F47" s="108">
        <f t="shared" si="125"/>
        <v>9.6999999999999993</v>
      </c>
      <c r="G47" s="108">
        <f t="shared" si="66"/>
        <v>8.4600000000000009</v>
      </c>
      <c r="H47" s="109">
        <f t="shared" si="67"/>
        <v>3290.78</v>
      </c>
      <c r="I47" s="110">
        <f t="shared" si="68"/>
        <v>8.08</v>
      </c>
      <c r="J47" s="110">
        <f t="shared" si="69"/>
        <v>21</v>
      </c>
      <c r="K47" s="109">
        <f t="shared" si="70"/>
        <v>70</v>
      </c>
      <c r="L47" s="109">
        <f t="shared" si="71"/>
        <v>1400</v>
      </c>
      <c r="M47" s="109">
        <f t="shared" si="72"/>
        <v>210</v>
      </c>
      <c r="N47" s="109" t="str">
        <f t="shared" si="73"/>
        <v>&gt;=2200</v>
      </c>
      <c r="O47" s="110" t="str">
        <f t="shared" si="74"/>
        <v>&lt;0.1</v>
      </c>
      <c r="P47" s="110">
        <f t="shared" si="75"/>
        <v>0.7</v>
      </c>
      <c r="Q47" s="111">
        <f t="shared" si="76"/>
        <v>0.12</v>
      </c>
      <c r="R47" s="110">
        <f t="shared" si="77"/>
        <v>0.71</v>
      </c>
      <c r="S47" s="108">
        <f t="shared" si="78"/>
        <v>1.1000000000000001</v>
      </c>
      <c r="T47" s="108" t="str">
        <f t="shared" si="79"/>
        <v>&lt;5.6</v>
      </c>
      <c r="U47" s="108">
        <f t="shared" si="80"/>
        <v>8.6</v>
      </c>
      <c r="V47" s="110">
        <f t="shared" si="81"/>
        <v>7.92</v>
      </c>
      <c r="W47" s="109">
        <f t="shared" si="82"/>
        <v>2900</v>
      </c>
      <c r="X47" s="108">
        <f t="shared" si="83"/>
        <v>4.5999999999999996</v>
      </c>
      <c r="Y47" s="108" t="str">
        <f t="shared" si="84"/>
        <v>&lt;2</v>
      </c>
      <c r="Z47" s="110" t="str">
        <f t="shared" si="85"/>
        <v>&lt;2</v>
      </c>
      <c r="AA47" s="110" t="str">
        <f t="shared" si="86"/>
        <v>&lt;2</v>
      </c>
      <c r="AB47" s="108" t="str">
        <f t="shared" si="87"/>
        <v>&lt;1</v>
      </c>
      <c r="AC47" s="108" t="str">
        <f t="shared" si="88"/>
        <v>&lt;5</v>
      </c>
      <c r="AD47" s="106">
        <f t="shared" si="89"/>
        <v>420</v>
      </c>
      <c r="AE47" s="106">
        <f t="shared" si="90"/>
        <v>5.5</v>
      </c>
      <c r="AF47" s="109">
        <f t="shared" si="91"/>
        <v>819</v>
      </c>
      <c r="AG47" s="106">
        <f t="shared" si="92"/>
        <v>6.2E-2</v>
      </c>
      <c r="AH47" s="109">
        <f t="shared" si="93"/>
        <v>580</v>
      </c>
      <c r="AI47" s="109">
        <f t="shared" si="94"/>
        <v>1700</v>
      </c>
      <c r="AJ47" s="106">
        <f t="shared" si="95"/>
        <v>7.2</v>
      </c>
      <c r="AK47" s="106" t="str">
        <f t="shared" si="96"/>
        <v>&lt;0.2</v>
      </c>
      <c r="AL47" s="106">
        <f t="shared" si="97"/>
        <v>1.1000000000000001</v>
      </c>
      <c r="AM47" s="106" t="str">
        <f t="shared" si="98"/>
        <v>&lt;0.2</v>
      </c>
      <c r="AN47" s="111" t="str">
        <f t="shared" si="99"/>
        <v>&lt;0.2</v>
      </c>
      <c r="AO47" s="106" t="str">
        <f t="shared" si="100"/>
        <v>&lt;0.02</v>
      </c>
      <c r="AP47" s="111" t="str">
        <f>AN47</f>
        <v>&lt;0.2</v>
      </c>
      <c r="AQ47" s="106">
        <f t="shared" si="101"/>
        <v>6.9</v>
      </c>
      <c r="AR47" s="109">
        <f t="shared" si="102"/>
        <v>1500</v>
      </c>
      <c r="AS47" s="109">
        <f t="shared" si="103"/>
        <v>860</v>
      </c>
      <c r="AT47" s="109" t="str">
        <f t="shared" si="104"/>
        <v>&lt;0.05</v>
      </c>
      <c r="AU47" s="108">
        <f t="shared" si="105"/>
        <v>2.5</v>
      </c>
      <c r="AV47" s="110" t="str">
        <f t="shared" si="106"/>
        <v>&lt;0.2</v>
      </c>
      <c r="AW47" s="108">
        <f t="shared" si="107"/>
        <v>0.7</v>
      </c>
      <c r="AX47" s="108" t="str">
        <f t="shared" si="108"/>
        <v>&lt;0.2</v>
      </c>
      <c r="AY47" s="111" t="str">
        <f t="shared" si="109"/>
        <v>&lt;10</v>
      </c>
      <c r="AZ47" s="109">
        <v>1756009</v>
      </c>
      <c r="BA47" s="106" t="str">
        <f t="shared" si="110"/>
        <v>&lt;0.2</v>
      </c>
      <c r="BB47" s="106">
        <f t="shared" si="111"/>
        <v>0.72</v>
      </c>
      <c r="BC47" s="106" t="str">
        <f t="shared" si="112"/>
        <v>&lt;0.2</v>
      </c>
      <c r="BD47" s="111" t="str">
        <f t="shared" si="113"/>
        <v>&lt;0.2</v>
      </c>
      <c r="BE47" s="106" t="str">
        <f t="shared" si="114"/>
        <v>&lt;0.02</v>
      </c>
      <c r="BF47" s="106" t="str">
        <f>BD47</f>
        <v>&lt;0.2</v>
      </c>
      <c r="BG47" s="106">
        <f t="shared" si="115"/>
        <v>6.1</v>
      </c>
      <c r="BH47" s="109" t="str">
        <f t="shared" si="116"/>
        <v>&lt;20</v>
      </c>
      <c r="BI47" s="109">
        <f t="shared" si="117"/>
        <v>830</v>
      </c>
      <c r="BJ47" s="109" t="str">
        <f t="shared" si="118"/>
        <v>&lt;0.05</v>
      </c>
      <c r="BK47" s="112">
        <f t="shared" si="119"/>
        <v>2.6</v>
      </c>
      <c r="BL47" s="110" t="str">
        <f t="shared" si="120"/>
        <v>&lt;0.2</v>
      </c>
      <c r="BM47" s="110">
        <f t="shared" si="121"/>
        <v>0.73</v>
      </c>
      <c r="BN47" s="110" t="str">
        <f t="shared" si="122"/>
        <v>&lt;0.2</v>
      </c>
      <c r="BO47" s="113" t="str">
        <f t="shared" si="123"/>
        <v>&lt;10</v>
      </c>
    </row>
    <row r="48" spans="1:67" s="119" customFormat="1" ht="27" customHeight="1" x14ac:dyDescent="0.4">
      <c r="A48" s="105" t="s">
        <v>157</v>
      </c>
      <c r="B48" s="106" t="str">
        <f t="shared" si="124"/>
        <v>San Clemente</v>
      </c>
      <c r="C48" s="260">
        <v>1744002</v>
      </c>
      <c r="D48" s="107">
        <f t="shared" si="64"/>
        <v>44349.381249999999</v>
      </c>
      <c r="E48" s="107"/>
      <c r="F48" s="108">
        <f t="shared" si="125"/>
        <v>1.42</v>
      </c>
      <c r="G48" s="108">
        <f t="shared" si="66"/>
        <v>8.77</v>
      </c>
      <c r="H48" s="109">
        <f t="shared" si="67"/>
        <v>17432.3</v>
      </c>
      <c r="I48" s="110">
        <f t="shared" si="68"/>
        <v>7.64</v>
      </c>
      <c r="J48" s="110">
        <f t="shared" si="69"/>
        <v>17.98</v>
      </c>
      <c r="K48" s="109" t="str">
        <f t="shared" si="70"/>
        <v>&gt;=900</v>
      </c>
      <c r="L48" s="109">
        <f t="shared" si="71"/>
        <v>2900</v>
      </c>
      <c r="M48" s="109" t="str">
        <f t="shared" si="72"/>
        <v>&gt;=1200</v>
      </c>
      <c r="N48" s="109" t="str">
        <f t="shared" si="73"/>
        <v>&gt;=49000</v>
      </c>
      <c r="O48" s="108">
        <f t="shared" si="74"/>
        <v>1.2</v>
      </c>
      <c r="P48" s="109">
        <f t="shared" si="75"/>
        <v>27</v>
      </c>
      <c r="Q48" s="114" t="str">
        <f t="shared" si="76"/>
        <v>&lt;0.02</v>
      </c>
      <c r="R48" s="108">
        <f t="shared" si="77"/>
        <v>2</v>
      </c>
      <c r="S48" s="110">
        <f t="shared" si="78"/>
        <v>0.81</v>
      </c>
      <c r="T48" s="108" t="str">
        <f t="shared" si="79"/>
        <v>&lt;5.6</v>
      </c>
      <c r="U48" s="108">
        <f t="shared" si="80"/>
        <v>6.3</v>
      </c>
      <c r="V48" s="110">
        <f t="shared" si="81"/>
        <v>7.31</v>
      </c>
      <c r="W48" s="109">
        <f t="shared" si="82"/>
        <v>18000</v>
      </c>
      <c r="X48" s="108">
        <f t="shared" si="83"/>
        <v>1.9</v>
      </c>
      <c r="Y48" s="108" t="str">
        <f t="shared" si="84"/>
        <v>&lt;2</v>
      </c>
      <c r="Z48" s="110" t="str">
        <f t="shared" si="85"/>
        <v>&lt;2</v>
      </c>
      <c r="AA48" s="110" t="str">
        <f t="shared" si="86"/>
        <v>&lt;2</v>
      </c>
      <c r="AB48" s="108" t="str">
        <f t="shared" si="87"/>
        <v>&lt;1</v>
      </c>
      <c r="AC48" s="108" t="str">
        <f t="shared" si="88"/>
        <v>&lt;5</v>
      </c>
      <c r="AD48" s="106">
        <f t="shared" si="89"/>
        <v>1900</v>
      </c>
      <c r="AE48" s="106">
        <f t="shared" si="90"/>
        <v>19</v>
      </c>
      <c r="AF48" s="109">
        <f t="shared" si="91"/>
        <v>7050</v>
      </c>
      <c r="AG48" s="106">
        <f t="shared" si="92"/>
        <v>0.05</v>
      </c>
      <c r="AH48" s="109">
        <f t="shared" si="93"/>
        <v>10000</v>
      </c>
      <c r="AI48" s="109">
        <f t="shared" si="94"/>
        <v>17000</v>
      </c>
      <c r="AJ48" s="106">
        <f t="shared" si="95"/>
        <v>20</v>
      </c>
      <c r="AK48" s="106" t="str">
        <f t="shared" si="96"/>
        <v>&lt;0.2</v>
      </c>
      <c r="AL48" s="106">
        <f t="shared" si="97"/>
        <v>2.2000000000000002</v>
      </c>
      <c r="AM48" s="106">
        <f t="shared" si="98"/>
        <v>170</v>
      </c>
      <c r="AN48" s="111">
        <f t="shared" si="99"/>
        <v>0.93</v>
      </c>
      <c r="AO48" s="106" t="str">
        <f t="shared" si="100"/>
        <v>&lt;0.1</v>
      </c>
      <c r="AP48" s="111" t="s">
        <v>158</v>
      </c>
      <c r="AQ48" s="106">
        <f t="shared" si="101"/>
        <v>7.1</v>
      </c>
      <c r="AR48" s="109">
        <f t="shared" si="102"/>
        <v>25</v>
      </c>
      <c r="AS48" s="109">
        <f t="shared" si="103"/>
        <v>13000</v>
      </c>
      <c r="AT48" s="109" t="str">
        <f t="shared" si="104"/>
        <v>&lt;0.05</v>
      </c>
      <c r="AU48" s="117">
        <f t="shared" si="105"/>
        <v>1100</v>
      </c>
      <c r="AV48" s="110">
        <f t="shared" si="106"/>
        <v>0.21</v>
      </c>
      <c r="AW48" s="109">
        <f t="shared" si="107"/>
        <v>13</v>
      </c>
      <c r="AX48" s="110">
        <f t="shared" si="108"/>
        <v>0.38</v>
      </c>
      <c r="AY48" s="231">
        <f t="shared" si="109"/>
        <v>520</v>
      </c>
      <c r="AZ48" s="109">
        <v>1744008</v>
      </c>
      <c r="BA48" s="106" t="str">
        <f t="shared" si="110"/>
        <v>&lt;0.2</v>
      </c>
      <c r="BB48" s="106">
        <f t="shared" si="111"/>
        <v>1.8</v>
      </c>
      <c r="BC48" s="106">
        <f t="shared" si="112"/>
        <v>170</v>
      </c>
      <c r="BD48" s="111">
        <f t="shared" si="113"/>
        <v>0.86</v>
      </c>
      <c r="BE48" s="106" t="str">
        <f t="shared" si="114"/>
        <v>&lt;0.1</v>
      </c>
      <c r="BF48" s="106" t="s">
        <v>159</v>
      </c>
      <c r="BG48" s="106">
        <f t="shared" si="115"/>
        <v>7.1</v>
      </c>
      <c r="BH48" s="109" t="str">
        <f t="shared" si="116"/>
        <v>&lt;20</v>
      </c>
      <c r="BI48" s="109">
        <f t="shared" si="117"/>
        <v>13000</v>
      </c>
      <c r="BJ48" s="109" t="str">
        <f t="shared" si="118"/>
        <v>&lt;0.05</v>
      </c>
      <c r="BK48" s="109">
        <f t="shared" si="119"/>
        <v>1100</v>
      </c>
      <c r="BL48" s="110" t="str">
        <f t="shared" si="120"/>
        <v>&lt;0.2</v>
      </c>
      <c r="BM48" s="109">
        <f t="shared" si="121"/>
        <v>12</v>
      </c>
      <c r="BN48" s="110">
        <f t="shared" si="122"/>
        <v>0.31</v>
      </c>
      <c r="BO48" s="113">
        <f t="shared" si="123"/>
        <v>510</v>
      </c>
    </row>
    <row r="49" spans="1:72" s="119" customFormat="1" ht="27" customHeight="1" x14ac:dyDescent="0.4">
      <c r="A49" s="105" t="s">
        <v>160</v>
      </c>
      <c r="B49" s="115" t="str">
        <f t="shared" si="124"/>
        <v>San Clemente</v>
      </c>
      <c r="C49" s="260">
        <v>1744003</v>
      </c>
      <c r="D49" s="107">
        <f t="shared" si="64"/>
        <v>44349.381944444445</v>
      </c>
      <c r="E49" s="118"/>
      <c r="F49" s="108">
        <f t="shared" si="125"/>
        <v>76.400000000000006</v>
      </c>
      <c r="G49" s="108">
        <f t="shared" si="66"/>
        <v>8.18</v>
      </c>
      <c r="H49" s="109">
        <f t="shared" si="67"/>
        <v>3922</v>
      </c>
      <c r="I49" s="110">
        <f t="shared" si="68"/>
        <v>8.42</v>
      </c>
      <c r="J49" s="110">
        <f t="shared" si="69"/>
        <v>18.579999999999998</v>
      </c>
      <c r="K49" s="109">
        <f t="shared" si="70"/>
        <v>870</v>
      </c>
      <c r="L49" s="109">
        <f t="shared" si="71"/>
        <v>2100</v>
      </c>
      <c r="M49" s="109">
        <f t="shared" si="72"/>
        <v>710</v>
      </c>
      <c r="N49" s="109" t="str">
        <f t="shared" si="73"/>
        <v>&gt;=32000</v>
      </c>
      <c r="O49" s="108">
        <f t="shared" si="74"/>
        <v>1</v>
      </c>
      <c r="P49" s="108">
        <f t="shared" si="75"/>
        <v>4.7</v>
      </c>
      <c r="Q49" s="111">
        <f t="shared" si="76"/>
        <v>0.46</v>
      </c>
      <c r="R49" s="108">
        <f t="shared" si="77"/>
        <v>3</v>
      </c>
      <c r="S49" s="108">
        <f t="shared" si="78"/>
        <v>1.6</v>
      </c>
      <c r="T49" s="109">
        <f t="shared" si="79"/>
        <v>26</v>
      </c>
      <c r="U49" s="109">
        <f t="shared" si="80"/>
        <v>260</v>
      </c>
      <c r="V49" s="110">
        <f t="shared" si="81"/>
        <v>7.96</v>
      </c>
      <c r="W49" s="109">
        <f t="shared" si="82"/>
        <v>2800</v>
      </c>
      <c r="X49" s="109">
        <f t="shared" si="83"/>
        <v>100</v>
      </c>
      <c r="Y49" s="108" t="str">
        <f t="shared" si="84"/>
        <v>&lt;2</v>
      </c>
      <c r="Z49" s="110" t="str">
        <f t="shared" si="85"/>
        <v>&lt;2</v>
      </c>
      <c r="AA49" s="110" t="str">
        <f t="shared" si="86"/>
        <v>&lt;2</v>
      </c>
      <c r="AB49" s="108" t="str">
        <f t="shared" si="87"/>
        <v>&lt;1</v>
      </c>
      <c r="AC49" s="108" t="str">
        <f t="shared" si="88"/>
        <v>&lt;5</v>
      </c>
      <c r="AD49" s="106">
        <f t="shared" si="89"/>
        <v>330</v>
      </c>
      <c r="AE49" s="106">
        <f t="shared" si="90"/>
        <v>11</v>
      </c>
      <c r="AF49" s="109">
        <f t="shared" si="91"/>
        <v>801</v>
      </c>
      <c r="AG49" s="106" t="str">
        <f t="shared" si="92"/>
        <v>&lt;0.05</v>
      </c>
      <c r="AH49" s="109">
        <f t="shared" si="93"/>
        <v>740</v>
      </c>
      <c r="AI49" s="109">
        <f t="shared" si="94"/>
        <v>1800</v>
      </c>
      <c r="AJ49" s="106">
        <f t="shared" si="95"/>
        <v>12</v>
      </c>
      <c r="AK49" s="106" t="str">
        <f t="shared" si="96"/>
        <v>&lt;0.2</v>
      </c>
      <c r="AL49" s="106">
        <f t="shared" si="97"/>
        <v>4.0999999999999996</v>
      </c>
      <c r="AM49" s="106">
        <f t="shared" si="98"/>
        <v>1.7</v>
      </c>
      <c r="AN49" s="235">
        <f t="shared" si="99"/>
        <v>11</v>
      </c>
      <c r="AO49" s="106">
        <f t="shared" si="100"/>
        <v>0.12</v>
      </c>
      <c r="AP49" s="112">
        <f>AN49-AO49</f>
        <v>10.88</v>
      </c>
      <c r="AQ49" s="106">
        <f t="shared" si="101"/>
        <v>11</v>
      </c>
      <c r="AR49" s="109">
        <f t="shared" si="102"/>
        <v>7600</v>
      </c>
      <c r="AS49" s="109">
        <f t="shared" si="103"/>
        <v>320</v>
      </c>
      <c r="AT49" s="109" t="str">
        <f t="shared" si="104"/>
        <v>&lt;0.05</v>
      </c>
      <c r="AU49" s="109">
        <f t="shared" si="105"/>
        <v>20</v>
      </c>
      <c r="AV49" s="108">
        <f t="shared" si="106"/>
        <v>1.4</v>
      </c>
      <c r="AW49" s="108">
        <f t="shared" si="107"/>
        <v>3</v>
      </c>
      <c r="AX49" s="110">
        <f t="shared" si="108"/>
        <v>0.2</v>
      </c>
      <c r="AY49" s="231">
        <f t="shared" si="109"/>
        <v>44</v>
      </c>
      <c r="AZ49" s="109">
        <v>1744009</v>
      </c>
      <c r="BA49" s="106" t="str">
        <f t="shared" si="110"/>
        <v>&lt;0.2</v>
      </c>
      <c r="BB49" s="106">
        <f t="shared" si="111"/>
        <v>3.3</v>
      </c>
      <c r="BC49" s="106">
        <f t="shared" si="112"/>
        <v>0.92</v>
      </c>
      <c r="BD49" s="111">
        <f t="shared" si="113"/>
        <v>0.77</v>
      </c>
      <c r="BE49" s="106">
        <f t="shared" si="114"/>
        <v>0.13</v>
      </c>
      <c r="BF49" s="106">
        <f>BD49-BE49</f>
        <v>0.64</v>
      </c>
      <c r="BG49" s="106">
        <f t="shared" si="115"/>
        <v>3.5</v>
      </c>
      <c r="BH49" s="109">
        <f t="shared" si="116"/>
        <v>320</v>
      </c>
      <c r="BI49" s="109">
        <f t="shared" si="117"/>
        <v>120</v>
      </c>
      <c r="BJ49" s="109" t="str">
        <f t="shared" si="118"/>
        <v>&lt;0.05</v>
      </c>
      <c r="BK49" s="231">
        <f t="shared" si="119"/>
        <v>11</v>
      </c>
      <c r="BL49" s="110" t="str">
        <f t="shared" si="120"/>
        <v>&lt;0.2</v>
      </c>
      <c r="BM49" s="108">
        <f t="shared" si="121"/>
        <v>2.7</v>
      </c>
      <c r="BN49" s="110" t="str">
        <f t="shared" si="122"/>
        <v>&lt;0.2</v>
      </c>
      <c r="BO49" s="113" t="str">
        <f t="shared" si="123"/>
        <v>&lt;10</v>
      </c>
    </row>
    <row r="50" spans="1:72" s="119" customFormat="1" ht="27" customHeight="1" x14ac:dyDescent="0.4">
      <c r="A50" s="105" t="s">
        <v>161</v>
      </c>
      <c r="B50" s="115" t="str">
        <f t="shared" si="124"/>
        <v>San Clemente</v>
      </c>
      <c r="C50" s="260">
        <v>1744004</v>
      </c>
      <c r="D50" s="107">
        <f t="shared" si="64"/>
        <v>44349.416666666664</v>
      </c>
      <c r="E50" s="118"/>
      <c r="F50" s="108">
        <f t="shared" si="125"/>
        <v>5.74</v>
      </c>
      <c r="G50" s="108">
        <f t="shared" si="66"/>
        <v>8.83</v>
      </c>
      <c r="H50" s="109">
        <f t="shared" si="67"/>
        <v>6076</v>
      </c>
      <c r="I50" s="110">
        <f t="shared" si="68"/>
        <v>7.85</v>
      </c>
      <c r="J50" s="110">
        <f t="shared" si="69"/>
        <v>19.899999999999999</v>
      </c>
      <c r="K50" s="109">
        <f t="shared" si="70"/>
        <v>2200</v>
      </c>
      <c r="L50" s="109">
        <f t="shared" si="71"/>
        <v>4700</v>
      </c>
      <c r="M50" s="109">
        <f t="shared" si="72"/>
        <v>2900</v>
      </c>
      <c r="N50" s="109" t="str">
        <f t="shared" si="73"/>
        <v>&gt;=24000</v>
      </c>
      <c r="O50" s="110">
        <f t="shared" si="74"/>
        <v>0.77</v>
      </c>
      <c r="P50" s="108">
        <f t="shared" si="75"/>
        <v>4.4000000000000004</v>
      </c>
      <c r="Q50" s="111">
        <f t="shared" si="76"/>
        <v>0.24</v>
      </c>
      <c r="R50" s="108">
        <f t="shared" si="77"/>
        <v>2.1</v>
      </c>
      <c r="S50" s="108">
        <f t="shared" si="78"/>
        <v>1.6</v>
      </c>
      <c r="T50" s="108" t="str">
        <f t="shared" si="79"/>
        <v>&lt;5.6</v>
      </c>
      <c r="U50" s="108">
        <f t="shared" si="80"/>
        <v>8.4</v>
      </c>
      <c r="V50" s="110">
        <f t="shared" si="81"/>
        <v>7.68</v>
      </c>
      <c r="W50" s="109">
        <f t="shared" si="82"/>
        <v>4400</v>
      </c>
      <c r="X50" s="108">
        <f t="shared" si="83"/>
        <v>6.4</v>
      </c>
      <c r="Y50" s="108" t="str">
        <f t="shared" si="84"/>
        <v>&lt;2</v>
      </c>
      <c r="Z50" s="110" t="str">
        <f t="shared" si="85"/>
        <v>&lt;2</v>
      </c>
      <c r="AA50" s="110" t="str">
        <f t="shared" si="86"/>
        <v>&lt;2</v>
      </c>
      <c r="AB50" s="108" t="str">
        <f t="shared" si="87"/>
        <v>&lt;1</v>
      </c>
      <c r="AC50" s="108" t="str">
        <f t="shared" si="88"/>
        <v>&lt;5</v>
      </c>
      <c r="AD50" s="106">
        <f t="shared" si="89"/>
        <v>510</v>
      </c>
      <c r="AE50" s="106">
        <f t="shared" si="90"/>
        <v>12</v>
      </c>
      <c r="AF50" s="109">
        <f t="shared" si="91"/>
        <v>1100</v>
      </c>
      <c r="AG50" s="106" t="str">
        <f t="shared" si="92"/>
        <v>&lt;0.05</v>
      </c>
      <c r="AH50" s="109">
        <f t="shared" si="93"/>
        <v>1500</v>
      </c>
      <c r="AI50" s="109">
        <f t="shared" si="94"/>
        <v>3000</v>
      </c>
      <c r="AJ50" s="106">
        <f t="shared" si="95"/>
        <v>14</v>
      </c>
      <c r="AK50" s="106" t="str">
        <f t="shared" si="96"/>
        <v>&lt;0.2</v>
      </c>
      <c r="AL50" s="106">
        <f t="shared" si="97"/>
        <v>2.6</v>
      </c>
      <c r="AM50" s="106">
        <f t="shared" si="98"/>
        <v>7.1</v>
      </c>
      <c r="AN50" s="111">
        <f t="shared" si="99"/>
        <v>0.95</v>
      </c>
      <c r="AO50" s="106">
        <f t="shared" si="100"/>
        <v>2.3E-2</v>
      </c>
      <c r="AP50" s="111">
        <f>AN50-AO50</f>
        <v>0.92699999999999994</v>
      </c>
      <c r="AQ50" s="106">
        <f t="shared" si="101"/>
        <v>4.0999999999999996</v>
      </c>
      <c r="AR50" s="109">
        <f t="shared" si="102"/>
        <v>400</v>
      </c>
      <c r="AS50" s="109">
        <f t="shared" si="103"/>
        <v>470</v>
      </c>
      <c r="AT50" s="109" t="str">
        <f t="shared" si="104"/>
        <v>&lt;0.05</v>
      </c>
      <c r="AU50" s="109">
        <f t="shared" si="105"/>
        <v>73</v>
      </c>
      <c r="AV50" s="110" t="str">
        <f t="shared" si="106"/>
        <v>&lt;0.2</v>
      </c>
      <c r="AW50" s="108">
        <f t="shared" si="107"/>
        <v>7.6</v>
      </c>
      <c r="AX50" s="108" t="str">
        <f t="shared" si="108"/>
        <v>&lt;0.2</v>
      </c>
      <c r="AY50" s="231">
        <f t="shared" si="109"/>
        <v>24</v>
      </c>
      <c r="AZ50" s="109">
        <v>1744010</v>
      </c>
      <c r="BA50" s="106" t="str">
        <f t="shared" si="110"/>
        <v>&lt;0.2</v>
      </c>
      <c r="BB50" s="106">
        <f t="shared" si="111"/>
        <v>2.6</v>
      </c>
      <c r="BC50" s="106">
        <f t="shared" si="112"/>
        <v>4.0999999999999996</v>
      </c>
      <c r="BD50" s="111">
        <f t="shared" si="113"/>
        <v>0.38</v>
      </c>
      <c r="BE50" s="106">
        <f t="shared" si="114"/>
        <v>2.5000000000000001E-2</v>
      </c>
      <c r="BF50" s="111">
        <f>BD50-BE50</f>
        <v>0.35499999999999998</v>
      </c>
      <c r="BG50" s="106">
        <f t="shared" si="115"/>
        <v>3.3</v>
      </c>
      <c r="BH50" s="109">
        <f t="shared" si="116"/>
        <v>25</v>
      </c>
      <c r="BI50" s="109">
        <f t="shared" si="117"/>
        <v>450</v>
      </c>
      <c r="BJ50" s="109" t="str">
        <f t="shared" si="118"/>
        <v>&lt;0.05</v>
      </c>
      <c r="BK50" s="231">
        <f t="shared" si="119"/>
        <v>72</v>
      </c>
      <c r="BL50" s="110" t="str">
        <f t="shared" si="120"/>
        <v>&lt;0.2</v>
      </c>
      <c r="BM50" s="108">
        <f t="shared" si="121"/>
        <v>7.5</v>
      </c>
      <c r="BN50" s="110" t="str">
        <f t="shared" si="122"/>
        <v>&lt;0.2</v>
      </c>
      <c r="BO50" s="113">
        <f t="shared" si="123"/>
        <v>20</v>
      </c>
    </row>
    <row r="51" spans="1:72" s="119" customFormat="1" ht="27" customHeight="1" x14ac:dyDescent="0.4">
      <c r="A51" s="105" t="s">
        <v>162</v>
      </c>
      <c r="B51" s="115" t="str">
        <f t="shared" si="124"/>
        <v>San Clemente</v>
      </c>
      <c r="C51" s="260">
        <v>1744001</v>
      </c>
      <c r="D51" s="107">
        <f t="shared" si="64"/>
        <v>44349.446527777778</v>
      </c>
      <c r="E51" s="107"/>
      <c r="F51" s="108">
        <f t="shared" si="125"/>
        <v>3.17</v>
      </c>
      <c r="G51" s="108">
        <f t="shared" si="66"/>
        <v>9.02</v>
      </c>
      <c r="H51" s="109">
        <f t="shared" si="67"/>
        <v>1584.2</v>
      </c>
      <c r="I51" s="110">
        <f t="shared" si="68"/>
        <v>8.3699999999999992</v>
      </c>
      <c r="J51" s="110">
        <f t="shared" si="69"/>
        <v>20.2</v>
      </c>
      <c r="K51" s="109">
        <f t="shared" si="70"/>
        <v>5000</v>
      </c>
      <c r="L51" s="109">
        <f t="shared" si="71"/>
        <v>12600</v>
      </c>
      <c r="M51" s="109" t="str">
        <f t="shared" si="72"/>
        <v>&gt;=4800</v>
      </c>
      <c r="N51" s="109" t="str">
        <f t="shared" si="73"/>
        <v>&gt;=46000</v>
      </c>
      <c r="O51" s="110" t="str">
        <f t="shared" si="74"/>
        <v>&lt;0.1</v>
      </c>
      <c r="P51" s="108">
        <f t="shared" si="75"/>
        <v>3.7</v>
      </c>
      <c r="Q51" s="111">
        <f t="shared" si="76"/>
        <v>0.33</v>
      </c>
      <c r="R51" s="108">
        <f t="shared" si="77"/>
        <v>1.5</v>
      </c>
      <c r="S51" s="108">
        <f t="shared" si="78"/>
        <v>1.9</v>
      </c>
      <c r="T51" s="108" t="str">
        <f t="shared" si="79"/>
        <v>&lt;5.6</v>
      </c>
      <c r="U51" s="108">
        <f t="shared" si="80"/>
        <v>3.4</v>
      </c>
      <c r="V51" s="110">
        <f t="shared" si="81"/>
        <v>7.91</v>
      </c>
      <c r="W51" s="109">
        <f t="shared" si="82"/>
        <v>670</v>
      </c>
      <c r="X51" s="108">
        <f t="shared" si="83"/>
        <v>8</v>
      </c>
      <c r="Y51" s="108" t="str">
        <f t="shared" si="84"/>
        <v>&lt;2</v>
      </c>
      <c r="Z51" s="110" t="str">
        <f t="shared" si="85"/>
        <v>&lt;2</v>
      </c>
      <c r="AA51" s="110" t="str">
        <f t="shared" si="86"/>
        <v>&lt;2</v>
      </c>
      <c r="AB51" s="108" t="str">
        <f t="shared" si="87"/>
        <v>&lt;1</v>
      </c>
      <c r="AC51" s="108" t="str">
        <f t="shared" si="88"/>
        <v>&lt;5</v>
      </c>
      <c r="AD51" s="106">
        <f t="shared" si="89"/>
        <v>180</v>
      </c>
      <c r="AE51" s="106">
        <f t="shared" si="90"/>
        <v>13</v>
      </c>
      <c r="AF51" s="109">
        <f t="shared" si="91"/>
        <v>460</v>
      </c>
      <c r="AG51" s="106">
        <f t="shared" si="92"/>
        <v>5.8000000000000003E-2</v>
      </c>
      <c r="AH51" s="109">
        <f t="shared" si="93"/>
        <v>360</v>
      </c>
      <c r="AI51" s="109">
        <f t="shared" si="94"/>
        <v>970</v>
      </c>
      <c r="AJ51" s="106">
        <f t="shared" si="95"/>
        <v>15</v>
      </c>
      <c r="AK51" s="106" t="str">
        <f t="shared" si="96"/>
        <v>&lt;0.2</v>
      </c>
      <c r="AL51" s="106">
        <f t="shared" si="97"/>
        <v>2.2000000000000002</v>
      </c>
      <c r="AM51" s="106" t="str">
        <f t="shared" si="98"/>
        <v>&lt;0.2</v>
      </c>
      <c r="AN51" s="111">
        <f t="shared" si="99"/>
        <v>0.35</v>
      </c>
      <c r="AO51" s="106">
        <f t="shared" si="100"/>
        <v>8.4000000000000005E-2</v>
      </c>
      <c r="AP51" s="111">
        <f>AN51-AO51</f>
        <v>0.26599999999999996</v>
      </c>
      <c r="AQ51" s="106">
        <f t="shared" si="101"/>
        <v>11</v>
      </c>
      <c r="AR51" s="109">
        <f t="shared" si="102"/>
        <v>470</v>
      </c>
      <c r="AS51" s="109">
        <f t="shared" si="103"/>
        <v>9.6</v>
      </c>
      <c r="AT51" s="109" t="str">
        <f t="shared" si="104"/>
        <v>&lt;0.05</v>
      </c>
      <c r="AU51" s="108">
        <f t="shared" si="105"/>
        <v>2.2999999999999998</v>
      </c>
      <c r="AV51" s="110" t="str">
        <f t="shared" si="106"/>
        <v>&lt;0.2</v>
      </c>
      <c r="AW51" s="108">
        <f t="shared" si="107"/>
        <v>1.1000000000000001</v>
      </c>
      <c r="AX51" s="108" t="str">
        <f t="shared" si="108"/>
        <v>&lt;0.2</v>
      </c>
      <c r="AY51" s="231">
        <f t="shared" si="109"/>
        <v>11</v>
      </c>
      <c r="AZ51" s="109">
        <v>1744007</v>
      </c>
      <c r="BA51" s="106" t="str">
        <f t="shared" si="110"/>
        <v>&lt;0.2</v>
      </c>
      <c r="BB51" s="112">
        <f t="shared" si="111"/>
        <v>2</v>
      </c>
      <c r="BC51" s="106" t="str">
        <f t="shared" si="112"/>
        <v>&lt;0.2</v>
      </c>
      <c r="BD51" s="111">
        <f t="shared" si="113"/>
        <v>0.49</v>
      </c>
      <c r="BE51" s="106">
        <f t="shared" si="114"/>
        <v>9.2999999999999999E-2</v>
      </c>
      <c r="BF51" s="111">
        <f>BD51-BE51</f>
        <v>0.39700000000000002</v>
      </c>
      <c r="BG51" s="106">
        <f t="shared" si="115"/>
        <v>8.6999999999999993</v>
      </c>
      <c r="BH51" s="109">
        <f t="shared" si="116"/>
        <v>180</v>
      </c>
      <c r="BI51" s="108">
        <f t="shared" si="117"/>
        <v>7.9</v>
      </c>
      <c r="BJ51" s="109" t="str">
        <f t="shared" si="118"/>
        <v>&lt;0.05</v>
      </c>
      <c r="BK51" s="112">
        <f t="shared" si="119"/>
        <v>2.5</v>
      </c>
      <c r="BL51" s="110" t="str">
        <f t="shared" si="120"/>
        <v>&lt;0.2</v>
      </c>
      <c r="BM51" s="108">
        <f t="shared" si="121"/>
        <v>1.1000000000000001</v>
      </c>
      <c r="BN51" s="110" t="str">
        <f t="shared" si="122"/>
        <v>&lt;0.2</v>
      </c>
      <c r="BO51" s="113">
        <f t="shared" si="123"/>
        <v>10</v>
      </c>
    </row>
    <row r="52" spans="1:72" s="119" customFormat="1" ht="27" customHeight="1" x14ac:dyDescent="0.4">
      <c r="A52" s="105" t="s">
        <v>163</v>
      </c>
      <c r="B52" s="106" t="str">
        <f t="shared" si="124"/>
        <v>San Clemente</v>
      </c>
      <c r="C52" s="260">
        <v>1744005</v>
      </c>
      <c r="D52" s="107">
        <f t="shared" si="64"/>
        <v>44349.462500000001</v>
      </c>
      <c r="E52" s="107"/>
      <c r="F52" s="108">
        <f t="shared" si="125"/>
        <v>8.57</v>
      </c>
      <c r="G52" s="108">
        <f t="shared" si="66"/>
        <v>7.49</v>
      </c>
      <c r="H52" s="109">
        <f t="shared" si="67"/>
        <v>9303</v>
      </c>
      <c r="I52" s="110">
        <f t="shared" si="68"/>
        <v>6.96</v>
      </c>
      <c r="J52" s="110">
        <f t="shared" si="69"/>
        <v>20.92</v>
      </c>
      <c r="K52" s="109">
        <f t="shared" si="70"/>
        <v>690</v>
      </c>
      <c r="L52" s="109">
        <f t="shared" si="71"/>
        <v>20</v>
      </c>
      <c r="M52" s="109">
        <f t="shared" si="72"/>
        <v>490</v>
      </c>
      <c r="N52" s="109" t="str">
        <f t="shared" si="73"/>
        <v>&gt;=6100</v>
      </c>
      <c r="O52" s="108">
        <f t="shared" si="74"/>
        <v>2</v>
      </c>
      <c r="P52" s="108">
        <f t="shared" si="75"/>
        <v>2.4</v>
      </c>
      <c r="Q52" s="111">
        <f t="shared" si="76"/>
        <v>5.8999999999999997E-2</v>
      </c>
      <c r="R52" s="108">
        <f t="shared" si="77"/>
        <v>3.4</v>
      </c>
      <c r="S52" s="108">
        <f t="shared" si="78"/>
        <v>1.7</v>
      </c>
      <c r="T52" s="108" t="str">
        <f t="shared" si="79"/>
        <v>&lt;5.6</v>
      </c>
      <c r="U52" s="108">
        <f t="shared" si="80"/>
        <v>8.9</v>
      </c>
      <c r="V52" s="110">
        <f t="shared" si="81"/>
        <v>7.01</v>
      </c>
      <c r="W52" s="109">
        <f t="shared" si="82"/>
        <v>6600</v>
      </c>
      <c r="X52" s="108">
        <f t="shared" si="83"/>
        <v>9.1999999999999993</v>
      </c>
      <c r="Y52" s="108" t="str">
        <f t="shared" si="84"/>
        <v>&lt;2</v>
      </c>
      <c r="Z52" s="110" t="str">
        <f t="shared" si="85"/>
        <v>&lt;2</v>
      </c>
      <c r="AA52" s="110" t="str">
        <f t="shared" si="86"/>
        <v>&lt;2</v>
      </c>
      <c r="AB52" s="108" t="str">
        <f t="shared" si="87"/>
        <v>&lt;1</v>
      </c>
      <c r="AC52" s="108" t="str">
        <f t="shared" si="88"/>
        <v>&lt;5</v>
      </c>
      <c r="AD52" s="106">
        <f t="shared" si="89"/>
        <v>710</v>
      </c>
      <c r="AE52" s="106">
        <f t="shared" si="90"/>
        <v>16</v>
      </c>
      <c r="AF52" s="109">
        <f t="shared" si="91"/>
        <v>2030</v>
      </c>
      <c r="AG52" s="106" t="str">
        <f t="shared" si="92"/>
        <v>&lt;0.05</v>
      </c>
      <c r="AH52" s="109">
        <f t="shared" si="93"/>
        <v>2900</v>
      </c>
      <c r="AI52" s="109">
        <f t="shared" si="94"/>
        <v>5400</v>
      </c>
      <c r="AJ52" s="106">
        <f t="shared" si="95"/>
        <v>16</v>
      </c>
      <c r="AK52" s="106" t="str">
        <f t="shared" si="96"/>
        <v>&lt;0.2</v>
      </c>
      <c r="AL52" s="112">
        <f t="shared" si="97"/>
        <v>6</v>
      </c>
      <c r="AM52" s="106">
        <f t="shared" si="98"/>
        <v>110</v>
      </c>
      <c r="AN52" s="111">
        <f t="shared" si="99"/>
        <v>0.8</v>
      </c>
      <c r="AO52" s="106" t="str">
        <f t="shared" si="100"/>
        <v>&lt;0.02</v>
      </c>
      <c r="AP52" s="111" t="s">
        <v>164</v>
      </c>
      <c r="AQ52" s="106">
        <f t="shared" si="101"/>
        <v>4.3</v>
      </c>
      <c r="AR52" s="109">
        <f t="shared" si="102"/>
        <v>370</v>
      </c>
      <c r="AS52" s="109">
        <f t="shared" si="103"/>
        <v>3800</v>
      </c>
      <c r="AT52" s="109" t="str">
        <f t="shared" si="104"/>
        <v>&lt;0.05</v>
      </c>
      <c r="AU52" s="109">
        <f t="shared" si="105"/>
        <v>700</v>
      </c>
      <c r="AV52" s="110" t="str">
        <f t="shared" si="106"/>
        <v>&lt;0.2</v>
      </c>
      <c r="AW52" s="109">
        <f t="shared" si="107"/>
        <v>19</v>
      </c>
      <c r="AX52" s="110">
        <f t="shared" si="108"/>
        <v>0.34</v>
      </c>
      <c r="AY52" s="231">
        <f t="shared" si="109"/>
        <v>290</v>
      </c>
      <c r="AZ52" s="109">
        <v>1744011</v>
      </c>
      <c r="BA52" s="106" t="str">
        <f t="shared" si="110"/>
        <v>&lt;0.2</v>
      </c>
      <c r="BB52" s="106">
        <f t="shared" si="111"/>
        <v>3.4</v>
      </c>
      <c r="BC52" s="106">
        <f t="shared" si="112"/>
        <v>110</v>
      </c>
      <c r="BD52" s="111">
        <f t="shared" si="113"/>
        <v>0.82</v>
      </c>
      <c r="BE52" s="106" t="str">
        <f t="shared" si="114"/>
        <v>&lt;0.02</v>
      </c>
      <c r="BF52" s="111" t="s">
        <v>165</v>
      </c>
      <c r="BG52" s="106">
        <f t="shared" si="115"/>
        <v>4.7</v>
      </c>
      <c r="BH52" s="109">
        <f t="shared" si="116"/>
        <v>25</v>
      </c>
      <c r="BI52" s="109">
        <f t="shared" si="117"/>
        <v>3700</v>
      </c>
      <c r="BJ52" s="109" t="str">
        <f t="shared" si="118"/>
        <v>&lt;0.05</v>
      </c>
      <c r="BK52" s="231">
        <f t="shared" si="119"/>
        <v>690</v>
      </c>
      <c r="BL52" s="110" t="str">
        <f t="shared" si="120"/>
        <v>&lt;0.2</v>
      </c>
      <c r="BM52" s="109">
        <f t="shared" si="121"/>
        <v>20</v>
      </c>
      <c r="BN52" s="110">
        <f t="shared" si="122"/>
        <v>0.34</v>
      </c>
      <c r="BO52" s="113">
        <f t="shared" si="123"/>
        <v>270</v>
      </c>
    </row>
    <row r="53" spans="1:72" s="119" customFormat="1" ht="27" customHeight="1" x14ac:dyDescent="0.4">
      <c r="A53" s="105" t="s">
        <v>166</v>
      </c>
      <c r="B53" s="106" t="str">
        <f t="shared" si="124"/>
        <v>San Clemente</v>
      </c>
      <c r="C53" s="260">
        <v>1744006</v>
      </c>
      <c r="D53" s="107">
        <f t="shared" si="64"/>
        <v>44349.46875</v>
      </c>
      <c r="E53" s="107"/>
      <c r="F53" s="108">
        <f t="shared" si="125"/>
        <v>2.2799999999999998</v>
      </c>
      <c r="G53" s="108">
        <f t="shared" si="66"/>
        <v>8.5</v>
      </c>
      <c r="H53" s="109">
        <f t="shared" si="67"/>
        <v>2067.5</v>
      </c>
      <c r="I53" s="110">
        <f t="shared" si="68"/>
        <v>8.01</v>
      </c>
      <c r="J53" s="110">
        <f t="shared" si="69"/>
        <v>18.87</v>
      </c>
      <c r="K53" s="109">
        <f t="shared" si="70"/>
        <v>2000</v>
      </c>
      <c r="L53" s="109">
        <f t="shared" si="71"/>
        <v>2700</v>
      </c>
      <c r="M53" s="109">
        <f t="shared" si="72"/>
        <v>2600</v>
      </c>
      <c r="N53" s="109" t="str">
        <f t="shared" si="73"/>
        <v>&gt;=12900</v>
      </c>
      <c r="O53" s="108">
        <f t="shared" si="74"/>
        <v>2.1</v>
      </c>
      <c r="P53" s="108">
        <f t="shared" si="75"/>
        <v>6.6</v>
      </c>
      <c r="Q53" s="111">
        <f t="shared" si="76"/>
        <v>0.32</v>
      </c>
      <c r="R53" s="108">
        <f t="shared" si="77"/>
        <v>4.2</v>
      </c>
      <c r="S53" s="108">
        <f t="shared" si="78"/>
        <v>1.8</v>
      </c>
      <c r="T53" s="108" t="str">
        <f t="shared" si="79"/>
        <v>&lt;6.3</v>
      </c>
      <c r="U53" s="108">
        <f t="shared" si="80"/>
        <v>2.2999999999999998</v>
      </c>
      <c r="V53" s="110">
        <f t="shared" si="81"/>
        <v>7.42</v>
      </c>
      <c r="W53" s="109">
        <f t="shared" si="82"/>
        <v>3200</v>
      </c>
      <c r="X53" s="108">
        <f t="shared" si="83"/>
        <v>2.6</v>
      </c>
      <c r="Y53" s="108" t="str">
        <f t="shared" si="84"/>
        <v>&lt;2</v>
      </c>
      <c r="Z53" s="110" t="str">
        <f t="shared" si="85"/>
        <v>&lt;2</v>
      </c>
      <c r="AA53" s="110" t="str">
        <f t="shared" si="86"/>
        <v>&lt;2</v>
      </c>
      <c r="AB53" s="108" t="str">
        <f t="shared" si="87"/>
        <v>&lt;1</v>
      </c>
      <c r="AC53" s="108" t="str">
        <f t="shared" si="88"/>
        <v>&lt;5</v>
      </c>
      <c r="AD53" s="106">
        <f t="shared" si="89"/>
        <v>270</v>
      </c>
      <c r="AE53" s="106">
        <f t="shared" si="90"/>
        <v>9.4</v>
      </c>
      <c r="AF53" s="109">
        <f t="shared" si="91"/>
        <v>547</v>
      </c>
      <c r="AG53" s="106" t="str">
        <f t="shared" si="92"/>
        <v>&lt;0.05</v>
      </c>
      <c r="AH53" s="109">
        <f t="shared" si="93"/>
        <v>480</v>
      </c>
      <c r="AI53" s="109">
        <f t="shared" si="94"/>
        <v>1300</v>
      </c>
      <c r="AJ53" s="106">
        <f t="shared" si="95"/>
        <v>10</v>
      </c>
      <c r="AK53" s="106" t="str">
        <f t="shared" si="96"/>
        <v>&lt;0.2</v>
      </c>
      <c r="AL53" s="106">
        <f t="shared" si="97"/>
        <v>2.5</v>
      </c>
      <c r="AM53" s="106">
        <f t="shared" si="98"/>
        <v>1.1000000000000001</v>
      </c>
      <c r="AN53" s="111">
        <f t="shared" si="99"/>
        <v>0.35</v>
      </c>
      <c r="AO53" s="106">
        <f t="shared" si="100"/>
        <v>0.11</v>
      </c>
      <c r="AP53" s="111">
        <f>AN53-AO53</f>
        <v>0.24</v>
      </c>
      <c r="AQ53" s="106">
        <f t="shared" si="101"/>
        <v>6.1</v>
      </c>
      <c r="AR53" s="109">
        <f t="shared" si="102"/>
        <v>120</v>
      </c>
      <c r="AS53" s="109">
        <f t="shared" si="103"/>
        <v>21</v>
      </c>
      <c r="AT53" s="109" t="str">
        <f t="shared" si="104"/>
        <v>&lt;0.05</v>
      </c>
      <c r="AU53" s="108">
        <f t="shared" si="105"/>
        <v>9.9</v>
      </c>
      <c r="AV53" s="110" t="str">
        <f t="shared" si="106"/>
        <v>&lt;0.2</v>
      </c>
      <c r="AW53" s="108">
        <f t="shared" si="107"/>
        <v>2.9</v>
      </c>
      <c r="AX53" s="108" t="str">
        <f t="shared" si="108"/>
        <v>&lt;0.2</v>
      </c>
      <c r="AY53" s="231">
        <f t="shared" si="109"/>
        <v>13</v>
      </c>
      <c r="AZ53" s="108">
        <v>1744012</v>
      </c>
      <c r="BA53" s="106" t="str">
        <f t="shared" si="110"/>
        <v>&lt;0.2</v>
      </c>
      <c r="BB53" s="106">
        <f t="shared" si="111"/>
        <v>2.5</v>
      </c>
      <c r="BC53" s="106">
        <f t="shared" si="112"/>
        <v>0.86</v>
      </c>
      <c r="BD53" s="111">
        <f t="shared" si="113"/>
        <v>0.31</v>
      </c>
      <c r="BE53" s="111">
        <f t="shared" si="114"/>
        <v>0.1</v>
      </c>
      <c r="BF53" s="106">
        <f>BD53-BE53</f>
        <v>0.21</v>
      </c>
      <c r="BG53" s="106">
        <f t="shared" si="115"/>
        <v>5.6</v>
      </c>
      <c r="BH53" s="109">
        <f t="shared" si="116"/>
        <v>44</v>
      </c>
      <c r="BI53" s="109">
        <f t="shared" si="117"/>
        <v>12</v>
      </c>
      <c r="BJ53" s="109" t="str">
        <f t="shared" si="118"/>
        <v>&lt;0.05</v>
      </c>
      <c r="BK53" s="231">
        <f t="shared" si="119"/>
        <v>15</v>
      </c>
      <c r="BL53" s="110" t="str">
        <f t="shared" si="120"/>
        <v>&lt;0.2</v>
      </c>
      <c r="BM53" s="108">
        <f t="shared" si="121"/>
        <v>2.9</v>
      </c>
      <c r="BN53" s="110" t="str">
        <f t="shared" si="122"/>
        <v>&lt;0.2</v>
      </c>
      <c r="BO53" s="113">
        <f t="shared" si="123"/>
        <v>26</v>
      </c>
    </row>
    <row r="54" spans="1:72" s="119" customFormat="1" ht="27" customHeight="1" x14ac:dyDescent="0.4">
      <c r="A54" s="105" t="s">
        <v>167</v>
      </c>
      <c r="B54" s="106" t="str">
        <f t="shared" si="124"/>
        <v>San Juan Capistrano</v>
      </c>
      <c r="C54" s="263">
        <v>1727003</v>
      </c>
      <c r="D54" s="107">
        <v>44348.370833333334</v>
      </c>
      <c r="E54" s="107" t="s">
        <v>118</v>
      </c>
      <c r="F54" s="271"/>
      <c r="G54" s="271"/>
      <c r="H54" s="272"/>
      <c r="I54" s="273"/>
      <c r="J54" s="273"/>
      <c r="K54" s="272"/>
      <c r="L54" s="272"/>
      <c r="M54" s="272"/>
      <c r="N54" s="272"/>
      <c r="O54" s="271"/>
      <c r="P54" s="271"/>
      <c r="Q54" s="274"/>
      <c r="R54" s="271"/>
      <c r="S54" s="271"/>
      <c r="T54" s="271"/>
      <c r="U54" s="271"/>
      <c r="V54" s="273"/>
      <c r="W54" s="272"/>
      <c r="X54" s="271"/>
      <c r="Y54" s="271"/>
      <c r="Z54" s="273"/>
      <c r="AA54" s="273"/>
      <c r="AB54" s="271"/>
      <c r="AC54" s="271"/>
      <c r="AD54" s="275"/>
      <c r="AE54" s="275"/>
      <c r="AF54" s="272"/>
      <c r="AG54" s="275"/>
      <c r="AH54" s="272"/>
      <c r="AI54" s="272"/>
      <c r="AJ54" s="275"/>
      <c r="AK54" s="275"/>
      <c r="AL54" s="275"/>
      <c r="AM54" s="275"/>
      <c r="AN54" s="274"/>
      <c r="AO54" s="275"/>
      <c r="AP54" s="274"/>
      <c r="AQ54" s="275"/>
      <c r="AR54" s="272"/>
      <c r="AS54" s="272"/>
      <c r="AT54" s="272"/>
      <c r="AU54" s="271"/>
      <c r="AV54" s="273"/>
      <c r="AW54" s="271"/>
      <c r="AX54" s="271"/>
      <c r="AY54" s="276"/>
      <c r="AZ54" s="271"/>
      <c r="BA54" s="275"/>
      <c r="BB54" s="275"/>
      <c r="BC54" s="275"/>
      <c r="BD54" s="274"/>
      <c r="BE54" s="274"/>
      <c r="BF54" s="275"/>
      <c r="BG54" s="275"/>
      <c r="BH54" s="272"/>
      <c r="BI54" s="272"/>
      <c r="BJ54" s="272"/>
      <c r="BK54" s="276"/>
      <c r="BL54" s="273"/>
      <c r="BM54" s="271"/>
      <c r="BN54" s="273"/>
      <c r="BO54" s="278"/>
    </row>
    <row r="55" spans="1:72" s="119" customFormat="1" ht="27" customHeight="1" x14ac:dyDescent="0.4">
      <c r="A55" s="105" t="s">
        <v>168</v>
      </c>
      <c r="B55" s="106" t="str">
        <f t="shared" si="124"/>
        <v>San Juan Capistrano</v>
      </c>
      <c r="C55" s="263">
        <v>1727004</v>
      </c>
      <c r="D55" s="107">
        <v>44348.416666666664</v>
      </c>
      <c r="E55" s="107" t="s">
        <v>169</v>
      </c>
      <c r="F55" s="271"/>
      <c r="G55" s="271"/>
      <c r="H55" s="272"/>
      <c r="I55" s="273"/>
      <c r="J55" s="273"/>
      <c r="K55" s="272"/>
      <c r="L55" s="272"/>
      <c r="M55" s="272"/>
      <c r="N55" s="272"/>
      <c r="O55" s="271"/>
      <c r="P55" s="271"/>
      <c r="Q55" s="274"/>
      <c r="R55" s="271"/>
      <c r="S55" s="271"/>
      <c r="T55" s="271"/>
      <c r="U55" s="271"/>
      <c r="V55" s="273"/>
      <c r="W55" s="272"/>
      <c r="X55" s="271"/>
      <c r="Y55" s="271"/>
      <c r="Z55" s="273"/>
      <c r="AA55" s="273"/>
      <c r="AB55" s="271"/>
      <c r="AC55" s="271"/>
      <c r="AD55" s="275"/>
      <c r="AE55" s="275"/>
      <c r="AF55" s="272"/>
      <c r="AG55" s="275"/>
      <c r="AH55" s="272"/>
      <c r="AI55" s="272"/>
      <c r="AJ55" s="275"/>
      <c r="AK55" s="275"/>
      <c r="AL55" s="275"/>
      <c r="AM55" s="275"/>
      <c r="AN55" s="274"/>
      <c r="AO55" s="275"/>
      <c r="AP55" s="274"/>
      <c r="AQ55" s="275"/>
      <c r="AR55" s="272"/>
      <c r="AS55" s="272"/>
      <c r="AT55" s="272"/>
      <c r="AU55" s="271"/>
      <c r="AV55" s="273"/>
      <c r="AW55" s="271"/>
      <c r="AX55" s="271"/>
      <c r="AY55" s="276"/>
      <c r="AZ55" s="271"/>
      <c r="BA55" s="275"/>
      <c r="BB55" s="275"/>
      <c r="BC55" s="275"/>
      <c r="BD55" s="274"/>
      <c r="BE55" s="274"/>
      <c r="BF55" s="275"/>
      <c r="BG55" s="275"/>
      <c r="BH55" s="272"/>
      <c r="BI55" s="272"/>
      <c r="BJ55" s="272"/>
      <c r="BK55" s="276"/>
      <c r="BL55" s="273"/>
      <c r="BM55" s="271"/>
      <c r="BN55" s="273"/>
      <c r="BO55" s="278"/>
    </row>
    <row r="56" spans="1:72" ht="27" customHeight="1" x14ac:dyDescent="0.4">
      <c r="A56" s="105" t="s">
        <v>170</v>
      </c>
      <c r="B56" s="115" t="str">
        <f t="shared" si="124"/>
        <v>San Juan Capistrano</v>
      </c>
      <c r="C56" s="260">
        <v>1727002</v>
      </c>
      <c r="D56" s="107">
        <f>VLOOKUP(C56,WaterQuality, 2, FALSE)</f>
        <v>44348.308333333334</v>
      </c>
      <c r="E56" s="107" t="s">
        <v>171</v>
      </c>
      <c r="F56" s="108">
        <f>VLOOKUP($C56, WaterQuality, 119, FALSE)</f>
        <v>1.26</v>
      </c>
      <c r="G56" s="108">
        <f>VLOOKUP($C56, WaterQuality, 115, FALSE)</f>
        <v>5.39</v>
      </c>
      <c r="H56" s="109">
        <f>VLOOKUP($C56, WaterQuality, 117, FALSE)</f>
        <v>6216</v>
      </c>
      <c r="I56" s="110">
        <f>VLOOKUP($C56, WaterQuality, 116, FALSE)</f>
        <v>7.56</v>
      </c>
      <c r="J56" s="110">
        <f>VLOOKUP($C56, WaterQuality, 118, FALSE)</f>
        <v>17.579999999999998</v>
      </c>
      <c r="K56" s="109">
        <f>VLOOKUP($C56, WaterQuality, 112, FALSE)</f>
        <v>350</v>
      </c>
      <c r="L56" s="109">
        <f>VLOOKUP($C56,WaterQuality, 111, FALSE)</f>
        <v>1550</v>
      </c>
      <c r="M56" s="109">
        <f>VLOOKUP($C56,WaterQuality, 113, FALSE)</f>
        <v>390</v>
      </c>
      <c r="N56" s="109" t="str">
        <f>VLOOKUP($C56,WaterQuality, 114, FALSE)</f>
        <v>&gt;=109000</v>
      </c>
      <c r="O56" s="110" t="str">
        <f>VLOOKUP($C56,WaterQuality, 97, FALSE)</f>
        <v>&lt;0.1</v>
      </c>
      <c r="P56" s="108">
        <f>VLOOKUP($C56,WaterQuality, 99, FALSE)</f>
        <v>2</v>
      </c>
      <c r="Q56" s="111">
        <f>VLOOKUP($C56,WaterQuality, 101, FALSE)</f>
        <v>0.22</v>
      </c>
      <c r="R56" s="110">
        <f>VLOOKUP($C56,WaterQuality, 100, FALSE)</f>
        <v>0.98</v>
      </c>
      <c r="S56" s="108">
        <f>VLOOKUP($C56,WaterQuality, 103, FALSE)</f>
        <v>1.1000000000000001</v>
      </c>
      <c r="T56" s="108" t="str">
        <f>VLOOKUP($C56,WaterQuality, 108, FALSE)</f>
        <v>&lt;5.6</v>
      </c>
      <c r="U56" s="108">
        <f>VLOOKUP($C56,WaterQuality, 109, FALSE)</f>
        <v>2.2999999999999998</v>
      </c>
      <c r="V56" s="110">
        <f>VLOOKUP($C56,WaterQuality, 102, FALSE)</f>
        <v>7.43</v>
      </c>
      <c r="W56" s="109">
        <f>VLOOKUP($C56,WaterQuality, 104, FALSE)</f>
        <v>6300</v>
      </c>
      <c r="X56" s="108">
        <f>VLOOKUP($C56,WaterQuality, 110, FALSE)</f>
        <v>1.4</v>
      </c>
      <c r="Y56" s="108" t="str">
        <f>VLOOKUP($C56,WaterQuality, 14, FALSE)</f>
        <v>&lt;2</v>
      </c>
      <c r="Z56" s="110" t="str">
        <f>VLOOKUP($C56,WaterQuality, 17, FALSE)</f>
        <v>&lt;2</v>
      </c>
      <c r="AA56" s="110" t="str">
        <f>VLOOKUP($C56,WaterQuality, 44, FALSE)</f>
        <v>&lt;2</v>
      </c>
      <c r="AB56" s="108" t="str">
        <f>VLOOKUP($C56,WaterQuality, 40, FALSE)</f>
        <v>&lt;1</v>
      </c>
      <c r="AC56" s="108" t="str">
        <f>VLOOKUP($C56,WaterQuality, 26, FALSE)</f>
        <v>&lt;5</v>
      </c>
      <c r="AD56" s="106">
        <f>VLOOKUP($C56,WaterQuality, 98, FALSE)</f>
        <v>580</v>
      </c>
      <c r="AE56" s="106">
        <f>VLOOKUP($C56,WaterQuality, 83, FALSE)</f>
        <v>13</v>
      </c>
      <c r="AF56" s="109">
        <f>VLOOKUP($C56,WaterQuality, 84, FALSE)</f>
        <v>2370</v>
      </c>
      <c r="AG56" s="106">
        <f>VLOOKUP($C56,WaterQuality, 89, FALSE)</f>
        <v>0.05</v>
      </c>
      <c r="AH56" s="109">
        <f>VLOOKUP($C56,WaterQuality, 105, FALSE)</f>
        <v>2900</v>
      </c>
      <c r="AI56" s="109">
        <f>VLOOKUP($C56,WaterQuality, 107, FALSE)</f>
        <v>4900</v>
      </c>
      <c r="AJ56" s="106">
        <f>VLOOKUP($C56,WaterQuality, 95, FALSE)</f>
        <v>14</v>
      </c>
      <c r="AK56" s="106" t="str">
        <f>VLOOKUP($C56,WaterQuality, 93, FALSE)</f>
        <v>&lt;0.2</v>
      </c>
      <c r="AL56" s="106">
        <f>VLOOKUP($C56,WaterQuality, 77, FALSE)</f>
        <v>1.2</v>
      </c>
      <c r="AM56" s="106">
        <f>VLOOKUP($C56,WaterQuality, 78, FALSE)</f>
        <v>5.8</v>
      </c>
      <c r="AN56" s="111">
        <f>VLOOKUP($C56,WaterQuality, 81, FALSE)</f>
        <v>0.35</v>
      </c>
      <c r="AO56" s="106" t="str">
        <f>VLOOKUP($C56,WaterQuality, 80, FALSE)</f>
        <v>&lt;0.02</v>
      </c>
      <c r="AP56" s="111" t="s">
        <v>103</v>
      </c>
      <c r="AQ56" s="106">
        <f>VLOOKUP($C56,WaterQuality, 82, FALSE)</f>
        <v>4.3</v>
      </c>
      <c r="AR56" s="109">
        <f>VLOOKUP($C56,WaterQuality, 85, FALSE)</f>
        <v>89</v>
      </c>
      <c r="AS56" s="109">
        <f>VLOOKUP($C56,WaterQuality, 88, FALSE)</f>
        <v>330</v>
      </c>
      <c r="AT56" s="109" t="str">
        <f>VLOOKUP($C56,WaterQuality, 90, FALSE)</f>
        <v>&lt;0.05</v>
      </c>
      <c r="AU56" s="109">
        <f>VLOOKUP($C56,WaterQuality, 91, FALSE)</f>
        <v>61</v>
      </c>
      <c r="AV56" s="110" t="str">
        <f>VLOOKUP($C56,WaterQuality, 86, FALSE)</f>
        <v>&lt;0.2</v>
      </c>
      <c r="AW56" s="108">
        <f>VLOOKUP($C56,WaterQuality, 92, FALSE)</f>
        <v>6.4</v>
      </c>
      <c r="AX56" s="108" t="str">
        <f>VLOOKUP($C56,WaterQuality, 94, FALSE)</f>
        <v>&lt;0.2</v>
      </c>
      <c r="AY56" s="231">
        <f>VLOOKUP($C56,WaterQuality, 96, FALSE)</f>
        <v>16</v>
      </c>
      <c r="AZ56" s="109">
        <v>1727007</v>
      </c>
      <c r="BA56" s="106" t="str">
        <f>VLOOKUP($AZ56,WaterQuality, 93, FALSE)</f>
        <v>&lt;0.2</v>
      </c>
      <c r="BB56" s="106">
        <f>VLOOKUP($AZ56,WaterQuality, 77, FALSE)</f>
        <v>1.2</v>
      </c>
      <c r="BC56" s="106">
        <f>VLOOKUP($AZ56,WaterQuality, 78, FALSE)</f>
        <v>1.2</v>
      </c>
      <c r="BD56" s="111">
        <f>VLOOKUP($AZ56,WaterQuality, 81, FALSE)</f>
        <v>0.23</v>
      </c>
      <c r="BE56" s="106" t="str">
        <f>VLOOKUP($AZ56,WaterQuality, 80, FALSE)</f>
        <v>&lt;0.02</v>
      </c>
      <c r="BF56" s="106" t="s">
        <v>172</v>
      </c>
      <c r="BG56" s="106">
        <f>VLOOKUP($AZ56,WaterQuality, 82, FALSE)</f>
        <v>3.5</v>
      </c>
      <c r="BH56" s="109" t="str">
        <f>VLOOKUP($AZ56,WaterQuality, 85, FALSE)</f>
        <v>&lt;20</v>
      </c>
      <c r="BI56" s="109">
        <f>VLOOKUP($AZ56,WaterQuality, 88, FALSE)</f>
        <v>310</v>
      </c>
      <c r="BJ56" s="109" t="str">
        <f>VLOOKUP($AZ56,WaterQuality, 90, FALSE)</f>
        <v>&lt;0.05</v>
      </c>
      <c r="BK56" s="231">
        <f>VLOOKUP($AZ56,WaterQuality, 91, FALSE)</f>
        <v>62</v>
      </c>
      <c r="BL56" s="110" t="str">
        <f>VLOOKUP($AZ56,WaterQuality, 86, FALSE)</f>
        <v>&lt;0.2</v>
      </c>
      <c r="BM56" s="108">
        <f>VLOOKUP($AZ56,WaterQuality, 92, FALSE)</f>
        <v>6.5</v>
      </c>
      <c r="BN56" s="110" t="str">
        <f>VLOOKUP($AZ56,WaterQuality, 94, FALSE)</f>
        <v>&lt;0.2</v>
      </c>
      <c r="BO56" s="113">
        <f>VLOOKUP($AZ56,WaterQuality, 96, FALSE)</f>
        <v>12</v>
      </c>
    </row>
    <row r="57" spans="1:72" s="122" customFormat="1" ht="27" customHeight="1" x14ac:dyDescent="0.4">
      <c r="A57" s="105" t="s">
        <v>173</v>
      </c>
      <c r="B57" s="106" t="str">
        <f t="shared" si="124"/>
        <v>San Juan Capistrano</v>
      </c>
      <c r="C57" s="260">
        <v>1727001</v>
      </c>
      <c r="D57" s="107">
        <f>VLOOKUP(C57,WaterQuality, 2, FALSE)</f>
        <v>44348.347222222219</v>
      </c>
      <c r="E57" s="107"/>
      <c r="F57" s="108">
        <f>VLOOKUP($C57, WaterQuality, 119, FALSE)</f>
        <v>5.29</v>
      </c>
      <c r="G57" s="108">
        <f>VLOOKUP($C57, WaterQuality, 115, FALSE)</f>
        <v>6.47</v>
      </c>
      <c r="H57" s="109">
        <f>VLOOKUP($C57, WaterQuality, 117, FALSE)</f>
        <v>1139</v>
      </c>
      <c r="I57" s="110">
        <f>VLOOKUP($C57, WaterQuality, 116, FALSE)</f>
        <v>7.75</v>
      </c>
      <c r="J57" s="110">
        <f>VLOOKUP($C57, WaterQuality, 118, FALSE)</f>
        <v>16.239999999999998</v>
      </c>
      <c r="K57" s="109" t="str">
        <f>VLOOKUP($C57, WaterQuality, 112, FALSE)</f>
        <v>&gt;=310</v>
      </c>
      <c r="L57" s="109">
        <f>VLOOKUP($C57,WaterQuality, 111, FALSE)</f>
        <v>7600</v>
      </c>
      <c r="M57" s="109">
        <f>VLOOKUP($C57,WaterQuality, 113, FALSE)</f>
        <v>2000</v>
      </c>
      <c r="N57" s="109" t="str">
        <f>VLOOKUP($C57,WaterQuality, 114, FALSE)</f>
        <v>&gt;=36000</v>
      </c>
      <c r="O57" s="110">
        <f>VLOOKUP($C57,WaterQuality, 97, FALSE)</f>
        <v>0.35</v>
      </c>
      <c r="P57" s="110">
        <f>VLOOKUP($C57,WaterQuality, 99, FALSE)</f>
        <v>0.49</v>
      </c>
      <c r="Q57" s="111">
        <f>VLOOKUP($C57,WaterQuality, 101, FALSE)</f>
        <v>0.23</v>
      </c>
      <c r="R57" s="108">
        <f>VLOOKUP($C57,WaterQuality, 100, FALSE)</f>
        <v>1.3</v>
      </c>
      <c r="S57" s="108">
        <f>VLOOKUP($C57,WaterQuality, 103, FALSE)</f>
        <v>1.3</v>
      </c>
      <c r="T57" s="108" t="str">
        <f>VLOOKUP($C57,WaterQuality, 108, FALSE)</f>
        <v>&lt;5.6</v>
      </c>
      <c r="U57" s="108">
        <f>VLOOKUP($C57,WaterQuality, 109, FALSE)</f>
        <v>2.7</v>
      </c>
      <c r="V57" s="110">
        <f>VLOOKUP($C57,WaterQuality, 102, FALSE)</f>
        <v>7.26</v>
      </c>
      <c r="W57" s="109">
        <f>VLOOKUP($C57,WaterQuality, 104, FALSE)</f>
        <v>1200</v>
      </c>
      <c r="X57" s="108">
        <f>VLOOKUP($C57,WaterQuality, 110, FALSE)</f>
        <v>1.9</v>
      </c>
      <c r="Y57" s="108" t="str">
        <f>VLOOKUP($C57,WaterQuality, 14, FALSE)</f>
        <v>&lt;2</v>
      </c>
      <c r="Z57" s="110" t="str">
        <f>VLOOKUP($C57,WaterQuality, 17, FALSE)</f>
        <v>&lt;2</v>
      </c>
      <c r="AA57" s="110" t="str">
        <f>VLOOKUP($C57,WaterQuality, 44, FALSE)</f>
        <v>&lt;2</v>
      </c>
      <c r="AB57" s="108" t="str">
        <f>VLOOKUP($C57,WaterQuality, 40, FALSE)</f>
        <v>&lt;1</v>
      </c>
      <c r="AC57" s="108" t="str">
        <f>VLOOKUP($C57,WaterQuality, 26, FALSE)</f>
        <v>&lt;5</v>
      </c>
      <c r="AD57" s="106">
        <f>VLOOKUP($C57,WaterQuality, 98, FALSE)</f>
        <v>130</v>
      </c>
      <c r="AE57" s="106">
        <f>VLOOKUP($C57,WaterQuality, 83, FALSE)</f>
        <v>8.6</v>
      </c>
      <c r="AF57" s="109">
        <f>VLOOKUP($C57,WaterQuality, 84, FALSE)</f>
        <v>324</v>
      </c>
      <c r="AG57" s="106">
        <f>VLOOKUP($C57,WaterQuality, 89, FALSE)</f>
        <v>0.12</v>
      </c>
      <c r="AH57" s="109">
        <f>VLOOKUP($C57,WaterQuality, 105, FALSE)</f>
        <v>250</v>
      </c>
      <c r="AI57" s="109">
        <f>VLOOKUP($C57,WaterQuality, 107, FALSE)</f>
        <v>620</v>
      </c>
      <c r="AJ57" s="106">
        <f>VLOOKUP($C57,WaterQuality, 95, FALSE)</f>
        <v>10</v>
      </c>
      <c r="AK57" s="106" t="str">
        <f>VLOOKUP($C57,WaterQuality, 93, FALSE)</f>
        <v>&lt;0.2</v>
      </c>
      <c r="AL57" s="112">
        <f>VLOOKUP($C57,WaterQuality, 77, FALSE)</f>
        <v>2</v>
      </c>
      <c r="AM57" s="106" t="str">
        <f>VLOOKUP($C57,WaterQuality, 78, FALSE)</f>
        <v>&lt;0.2</v>
      </c>
      <c r="AN57" s="111">
        <f>VLOOKUP($C57,WaterQuality, 81, FALSE)</f>
        <v>0.28000000000000003</v>
      </c>
      <c r="AO57" s="106" t="str">
        <f>VLOOKUP($C57,WaterQuality, 80, FALSE)</f>
        <v>&lt;0.02</v>
      </c>
      <c r="AP57" s="111" t="s">
        <v>174</v>
      </c>
      <c r="AQ57" s="106">
        <f>VLOOKUP($C57,WaterQuality, 82, FALSE)</f>
        <v>3.7</v>
      </c>
      <c r="AR57" s="109">
        <f>VLOOKUP($C57,WaterQuality, 85, FALSE)</f>
        <v>230</v>
      </c>
      <c r="AS57" s="109">
        <f>VLOOKUP($C57,WaterQuality, 88, FALSE)</f>
        <v>29</v>
      </c>
      <c r="AT57" s="109" t="str">
        <f>VLOOKUP($C57,WaterQuality, 90, FALSE)</f>
        <v>&lt;0.05</v>
      </c>
      <c r="AU57" s="108">
        <f>VLOOKUP($C57,WaterQuality, 91, FALSE)</f>
        <v>2</v>
      </c>
      <c r="AV57" s="110" t="str">
        <f>VLOOKUP($C57,WaterQuality, 86, FALSE)</f>
        <v>&lt;0.2</v>
      </c>
      <c r="AW57" s="108">
        <f>VLOOKUP($C57,WaterQuality, 92, FALSE)</f>
        <v>1.1000000000000001</v>
      </c>
      <c r="AX57" s="108" t="str">
        <f>VLOOKUP($C57,WaterQuality, 94, FALSE)</f>
        <v>&lt;0.2</v>
      </c>
      <c r="AY57" s="231">
        <f>VLOOKUP($C57,WaterQuality, 96, FALSE)</f>
        <v>13</v>
      </c>
      <c r="AZ57" s="109">
        <v>1727006</v>
      </c>
      <c r="BA57" s="106" t="str">
        <f>VLOOKUP($AZ57,WaterQuality, 93, FALSE)</f>
        <v>&lt;0.2</v>
      </c>
      <c r="BB57" s="106">
        <f>VLOOKUP($AZ57,WaterQuality, 77, FALSE)</f>
        <v>1.9</v>
      </c>
      <c r="BC57" s="106" t="str">
        <f>VLOOKUP($AZ57,WaterQuality, 78, FALSE)</f>
        <v>&lt;0.2</v>
      </c>
      <c r="BD57" s="111" t="str">
        <f>VLOOKUP($AZ57,WaterQuality, 81, FALSE)</f>
        <v>&lt;0.2</v>
      </c>
      <c r="BE57" s="106" t="str">
        <f>VLOOKUP($AZ57,WaterQuality, 80, FALSE)</f>
        <v>&lt;0.02</v>
      </c>
      <c r="BF57" s="111" t="str">
        <f>BD57</f>
        <v>&lt;0.2</v>
      </c>
      <c r="BG57" s="106">
        <f>VLOOKUP($AZ57,WaterQuality, 82, FALSE)</f>
        <v>3.2</v>
      </c>
      <c r="BH57" s="109">
        <f>VLOOKUP($AZ57,WaterQuality, 85, FALSE)</f>
        <v>93</v>
      </c>
      <c r="BI57" s="109">
        <f>VLOOKUP($AZ57,WaterQuality, 88, FALSE)</f>
        <v>26</v>
      </c>
      <c r="BJ57" s="109" t="str">
        <f>VLOOKUP($AZ57,WaterQuality, 90, FALSE)</f>
        <v>&lt;0.05</v>
      </c>
      <c r="BK57" s="112">
        <f>VLOOKUP($AZ57,WaterQuality, 91, FALSE)</f>
        <v>2</v>
      </c>
      <c r="BL57" s="110" t="str">
        <f>VLOOKUP($AZ57,WaterQuality, 86, FALSE)</f>
        <v>&lt;0.2</v>
      </c>
      <c r="BM57" s="108">
        <f>VLOOKUP($AZ57,WaterQuality, 92, FALSE)</f>
        <v>1.1000000000000001</v>
      </c>
      <c r="BN57" s="110" t="str">
        <f>VLOOKUP($AZ57,WaterQuality, 94, FALSE)</f>
        <v>&lt;0.2</v>
      </c>
      <c r="BO57" s="113" t="str">
        <f>VLOOKUP($AZ57,WaterQuality, 96, FALSE)</f>
        <v>&lt;10</v>
      </c>
    </row>
    <row r="58" spans="1:72" ht="27" customHeight="1" thickBot="1" x14ac:dyDescent="0.45">
      <c r="A58" s="269" t="s">
        <v>175</v>
      </c>
      <c r="B58" s="130" t="str">
        <f t="shared" si="124"/>
        <v>San Juan Capistrano</v>
      </c>
      <c r="C58" s="270">
        <v>1727005</v>
      </c>
      <c r="D58" s="219">
        <f>VLOOKUP(C58,WaterQuality, 2, FALSE)</f>
        <v>44348.398611111108</v>
      </c>
      <c r="E58" s="219"/>
      <c r="F58" s="128">
        <f>VLOOKUP($C58, WaterQuality, 119, FALSE)</f>
        <v>0.9</v>
      </c>
      <c r="G58" s="126">
        <f>VLOOKUP($C58, WaterQuality, 115, FALSE)</f>
        <v>11.06</v>
      </c>
      <c r="H58" s="127">
        <f>VLOOKUP($C58, WaterQuality, 117, FALSE)</f>
        <v>3353</v>
      </c>
      <c r="I58" s="128">
        <f>VLOOKUP($C58, WaterQuality, 116, FALSE)</f>
        <v>8.5399999999999991</v>
      </c>
      <c r="J58" s="128">
        <f>VLOOKUP($C58, WaterQuality, 118, FALSE)</f>
        <v>16.559999999999999</v>
      </c>
      <c r="K58" s="127">
        <f>VLOOKUP($C58, WaterQuality, 112, FALSE)</f>
        <v>920</v>
      </c>
      <c r="L58" s="127">
        <f>VLOOKUP($C58,WaterQuality, 111, FALSE)</f>
        <v>290</v>
      </c>
      <c r="M58" s="127">
        <f>VLOOKUP($C58,WaterQuality, 113, FALSE)</f>
        <v>1090</v>
      </c>
      <c r="N58" s="127" t="str">
        <f>VLOOKUP($C58,WaterQuality, 114, FALSE)</f>
        <v>&gt;=2900</v>
      </c>
      <c r="O58" s="128" t="str">
        <f>VLOOKUP($C58,WaterQuality, 97, FALSE)</f>
        <v>&lt;0.1</v>
      </c>
      <c r="P58" s="126">
        <f>VLOOKUP($C58,WaterQuality, 99, FALSE)</f>
        <v>4.4000000000000004</v>
      </c>
      <c r="Q58" s="129">
        <f>VLOOKUP($C58,WaterQuality, 101, FALSE)</f>
        <v>9.9000000000000005E-2</v>
      </c>
      <c r="R58" s="128">
        <f>VLOOKUP($C58,WaterQuality, 100, FALSE)</f>
        <v>0.65</v>
      </c>
      <c r="S58" s="128">
        <f>VLOOKUP($C58,WaterQuality, 103, FALSE)</f>
        <v>0.73</v>
      </c>
      <c r="T58" s="126" t="str">
        <f>VLOOKUP($C58,WaterQuality, 108, FALSE)</f>
        <v>&lt;5.6</v>
      </c>
      <c r="U58" s="126">
        <f>VLOOKUP($C58,WaterQuality, 109, FALSE)</f>
        <v>0.7</v>
      </c>
      <c r="V58" s="128">
        <f>VLOOKUP($C58,WaterQuality, 102, FALSE)</f>
        <v>8.41</v>
      </c>
      <c r="W58" s="127">
        <f>VLOOKUP($C58,WaterQuality, 104, FALSE)</f>
        <v>3400</v>
      </c>
      <c r="X58" s="128">
        <f>VLOOKUP($C58,WaterQuality, 110, FALSE)</f>
        <v>0.91</v>
      </c>
      <c r="Y58" s="126" t="str">
        <f>VLOOKUP($C58,WaterQuality, 14, FALSE)</f>
        <v>&lt;2</v>
      </c>
      <c r="Z58" s="128" t="str">
        <f>VLOOKUP($C58,WaterQuality, 17, FALSE)</f>
        <v>&lt;2</v>
      </c>
      <c r="AA58" s="128" t="str">
        <f>VLOOKUP($C58,WaterQuality, 44, FALSE)</f>
        <v>&lt;2</v>
      </c>
      <c r="AB58" s="126" t="str">
        <f>VLOOKUP($C58,WaterQuality, 40, FALSE)</f>
        <v>&lt;1</v>
      </c>
      <c r="AC58" s="126" t="str">
        <f>VLOOKUP($C58,WaterQuality, 26, FALSE)</f>
        <v>&lt;5</v>
      </c>
      <c r="AD58" s="130">
        <f>VLOOKUP($C58,WaterQuality, 98, FALSE)</f>
        <v>500</v>
      </c>
      <c r="AE58" s="130">
        <f>VLOOKUP($C58,WaterQuality, 83, FALSE)</f>
        <v>1.3</v>
      </c>
      <c r="AF58" s="127">
        <f>VLOOKUP($C58,WaterQuality, 84, FALSE)</f>
        <v>688</v>
      </c>
      <c r="AG58" s="130" t="str">
        <f>VLOOKUP($C58,WaterQuality, 89, FALSE)</f>
        <v>&lt;0.05</v>
      </c>
      <c r="AH58" s="127">
        <f>VLOOKUP($C58,WaterQuality, 105, FALSE)</f>
        <v>650</v>
      </c>
      <c r="AI58" s="127">
        <f>VLOOKUP($C58,WaterQuality, 107, FALSE)</f>
        <v>2000</v>
      </c>
      <c r="AJ58" s="220">
        <f>VLOOKUP($C58,WaterQuality, 95, FALSE)</f>
        <v>4</v>
      </c>
      <c r="AK58" s="130" t="str">
        <f>VLOOKUP($C58,WaterQuality, 93, FALSE)</f>
        <v>&lt;0.2</v>
      </c>
      <c r="AL58" s="130">
        <f>VLOOKUP($C58,WaterQuality, 77, FALSE)</f>
        <v>1.1000000000000001</v>
      </c>
      <c r="AM58" s="130" t="str">
        <f>VLOOKUP($C58,WaterQuality, 78, FALSE)</f>
        <v>&lt;0.2</v>
      </c>
      <c r="AN58" s="129">
        <f>VLOOKUP($C58,WaterQuality, 81, FALSE)</f>
        <v>0.44</v>
      </c>
      <c r="AO58" s="130">
        <f>VLOOKUP($C58,WaterQuality, 80, FALSE)</f>
        <v>0.25</v>
      </c>
      <c r="AP58" s="129">
        <f>AN58-AO58</f>
        <v>0.19</v>
      </c>
      <c r="AQ58" s="220">
        <f>VLOOKUP($C58,WaterQuality, 82, FALSE)</f>
        <v>3</v>
      </c>
      <c r="AR58" s="127">
        <f>VLOOKUP($C58,WaterQuality, 85, FALSE)</f>
        <v>29</v>
      </c>
      <c r="AS58" s="126">
        <f>VLOOKUP($C58,WaterQuality, 88, FALSE)</f>
        <v>1.1000000000000001</v>
      </c>
      <c r="AT58" s="127" t="str">
        <f>VLOOKUP($C58,WaterQuality, 90, FALSE)</f>
        <v>&lt;0.05</v>
      </c>
      <c r="AU58" s="126" t="str">
        <f>VLOOKUP($C58,WaterQuality, 91, FALSE)</f>
        <v>&lt;2</v>
      </c>
      <c r="AV58" s="128" t="str">
        <f>VLOOKUP($C58,WaterQuality, 86, FALSE)</f>
        <v>&lt;0.2</v>
      </c>
      <c r="AW58" s="126">
        <f>VLOOKUP($C58,WaterQuality, 92, FALSE)</f>
        <v>4.0999999999999996</v>
      </c>
      <c r="AX58" s="126" t="str">
        <f>VLOOKUP($C58,WaterQuality, 94, FALSE)</f>
        <v>&lt;0.2</v>
      </c>
      <c r="AY58" s="129" t="str">
        <f>VLOOKUP($C58,WaterQuality, 96, FALSE)</f>
        <v>&lt;10</v>
      </c>
      <c r="AZ58" s="127">
        <v>1727010</v>
      </c>
      <c r="BA58" s="130" t="str">
        <f>VLOOKUP($AZ58,WaterQuality, 93, FALSE)</f>
        <v>&lt;0.2</v>
      </c>
      <c r="BB58" s="130">
        <f>VLOOKUP($AZ58,WaterQuality, 77, FALSE)</f>
        <v>1.1000000000000001</v>
      </c>
      <c r="BC58" s="130" t="str">
        <f>VLOOKUP($AZ58,WaterQuality, 78, FALSE)</f>
        <v>&lt;0.2</v>
      </c>
      <c r="BD58" s="129">
        <f>VLOOKUP($AZ58,WaterQuality, 81, FALSE)</f>
        <v>0.39</v>
      </c>
      <c r="BE58" s="130">
        <f>VLOOKUP($AZ58,WaterQuality, 80, FALSE)</f>
        <v>0.26</v>
      </c>
      <c r="BF58" s="130">
        <f>BD58-BE58</f>
        <v>0.13</v>
      </c>
      <c r="BG58" s="130">
        <f>VLOOKUP($AZ58,WaterQuality, 82, FALSE)</f>
        <v>3.1</v>
      </c>
      <c r="BH58" s="127" t="str">
        <f>VLOOKUP($AZ58,WaterQuality, 85, FALSE)</f>
        <v>&lt;20</v>
      </c>
      <c r="BI58" s="127" t="str">
        <f>VLOOKUP($AZ58,WaterQuality, 88, FALSE)</f>
        <v>&lt;1</v>
      </c>
      <c r="BJ58" s="127" t="str">
        <f>VLOOKUP($AZ58,WaterQuality, 90, FALSE)</f>
        <v>&lt;0.05</v>
      </c>
      <c r="BK58" s="220" t="str">
        <f>VLOOKUP($AZ58,WaterQuality, 91, FALSE)</f>
        <v>&lt;2</v>
      </c>
      <c r="BL58" s="128" t="str">
        <f>VLOOKUP($AZ58,WaterQuality, 86, FALSE)</f>
        <v>&lt;0.2</v>
      </c>
      <c r="BM58" s="126">
        <f>VLOOKUP($AZ58,WaterQuality, 92, FALSE)</f>
        <v>4</v>
      </c>
      <c r="BN58" s="128" t="str">
        <f>VLOOKUP($AZ58,WaterQuality, 94, FALSE)</f>
        <v>&lt;0.2</v>
      </c>
      <c r="BO58" s="131" t="str">
        <f>VLOOKUP($AZ58,WaterQuality, 96, FALSE)</f>
        <v>&lt;10</v>
      </c>
    </row>
    <row r="59" spans="1:72" s="122" customFormat="1" ht="24.95" customHeight="1" x14ac:dyDescent="0.4">
      <c r="A59" s="132"/>
      <c r="B59" s="133"/>
      <c r="C59" s="133"/>
      <c r="D59" s="134"/>
      <c r="E59" s="134"/>
      <c r="F59" s="133"/>
      <c r="G59" s="135"/>
      <c r="H59" s="135"/>
      <c r="I59" s="135"/>
      <c r="J59" s="135"/>
      <c r="K59" s="136"/>
      <c r="L59" s="136"/>
      <c r="M59" s="136"/>
      <c r="N59" s="136"/>
      <c r="O59" s="137"/>
      <c r="P59" s="137"/>
      <c r="Q59" s="138"/>
      <c r="R59" s="137"/>
      <c r="S59" s="137"/>
      <c r="T59" s="137"/>
      <c r="U59" s="137"/>
      <c r="V59" s="138"/>
      <c r="W59" s="136"/>
      <c r="X59" s="137"/>
      <c r="Y59" s="137"/>
      <c r="Z59" s="138"/>
      <c r="AA59" s="138"/>
      <c r="AB59" s="137"/>
      <c r="AC59" s="137"/>
      <c r="AD59" s="133"/>
      <c r="AE59" s="133"/>
      <c r="AF59" s="136"/>
      <c r="AG59" s="133"/>
      <c r="AH59" s="136"/>
      <c r="AI59" s="136"/>
      <c r="AJ59" s="133"/>
      <c r="AK59" s="133"/>
      <c r="AL59" s="133"/>
      <c r="AM59" s="133"/>
      <c r="AN59" s="133"/>
      <c r="AO59" s="133"/>
      <c r="AP59" s="133"/>
      <c r="AQ59" s="133"/>
      <c r="AR59" s="136"/>
      <c r="AS59" s="136"/>
      <c r="AT59" s="136"/>
      <c r="AU59" s="136"/>
      <c r="AV59" s="137"/>
      <c r="AW59" s="137"/>
      <c r="AX59" s="138"/>
      <c r="AY59" s="228"/>
      <c r="AZ59" s="136"/>
      <c r="BA59" s="133"/>
      <c r="BB59" s="133"/>
      <c r="BC59" s="133"/>
      <c r="BD59" s="133"/>
      <c r="BE59" s="133"/>
      <c r="BF59" s="133"/>
      <c r="BG59" s="133"/>
      <c r="BH59" s="136"/>
      <c r="BI59" s="136"/>
      <c r="BJ59" s="136"/>
      <c r="BK59" s="136"/>
      <c r="BL59" s="137"/>
      <c r="BM59" s="137"/>
      <c r="BN59" s="138"/>
      <c r="BO59" s="136"/>
      <c r="BP59" s="123"/>
      <c r="BQ59" s="123"/>
      <c r="BR59" s="123"/>
      <c r="BS59" s="123"/>
      <c r="BT59" s="123"/>
    </row>
    <row r="60" spans="1:72" ht="24.95" customHeight="1" x14ac:dyDescent="0.4">
      <c r="A60" s="401" t="s">
        <v>176</v>
      </c>
      <c r="B60" s="402"/>
      <c r="C60" s="402"/>
      <c r="D60" s="402"/>
      <c r="E60" s="361"/>
      <c r="F60" s="139"/>
      <c r="G60" s="140"/>
      <c r="H60" s="141"/>
      <c r="I60" s="142"/>
      <c r="J60" s="133"/>
      <c r="K60" s="143"/>
      <c r="L60" s="143"/>
      <c r="M60" s="144"/>
      <c r="N60" s="145"/>
      <c r="O60" s="145"/>
      <c r="P60" s="145"/>
      <c r="Q60" s="145"/>
      <c r="R60" s="145"/>
      <c r="S60" s="145"/>
      <c r="T60" s="145"/>
      <c r="U60" s="145"/>
      <c r="V60" s="145"/>
      <c r="W60" s="145"/>
      <c r="X60" s="145"/>
      <c r="Y60" s="145"/>
      <c r="Z60" s="145"/>
      <c r="AA60" s="145"/>
      <c r="AB60" s="145"/>
      <c r="AC60" s="145"/>
      <c r="AD60" s="145"/>
      <c r="AE60" s="145"/>
      <c r="AF60" s="233"/>
      <c r="AG60" s="145"/>
      <c r="AH60" s="145"/>
      <c r="AI60" s="145"/>
      <c r="AJ60" s="145"/>
      <c r="AK60" s="145"/>
      <c r="AL60" s="145"/>
      <c r="AM60" s="145"/>
      <c r="AN60" s="145"/>
      <c r="AO60" s="145"/>
      <c r="AP60" s="145"/>
      <c r="AQ60" s="145"/>
      <c r="AR60" s="145"/>
      <c r="AS60" s="145"/>
      <c r="AT60" s="145"/>
      <c r="AU60" s="145"/>
      <c r="AV60" s="145"/>
      <c r="AW60" s="145"/>
      <c r="AX60" s="145"/>
      <c r="AY60" s="229"/>
      <c r="AZ60" s="145"/>
      <c r="BA60" s="145"/>
      <c r="BB60" s="145"/>
      <c r="BC60" s="145"/>
      <c r="BD60" s="145"/>
      <c r="BE60" s="145"/>
      <c r="BF60" s="145"/>
      <c r="BG60" s="145"/>
      <c r="BH60" s="145"/>
      <c r="BI60" s="145"/>
      <c r="BJ60" s="145"/>
      <c r="BK60" s="145"/>
      <c r="BL60" s="145"/>
      <c r="BM60" s="145"/>
      <c r="BN60" s="145"/>
      <c r="BO60" s="145"/>
    </row>
    <row r="61" spans="1:72" ht="24.95" customHeight="1" x14ac:dyDescent="0.4">
      <c r="A61" s="141" t="s">
        <v>67</v>
      </c>
      <c r="B61" s="146" t="s">
        <v>177</v>
      </c>
      <c r="C61" s="146"/>
      <c r="D61" s="134"/>
      <c r="E61" s="134"/>
      <c r="F61" s="139"/>
      <c r="G61" s="140"/>
      <c r="H61" s="141"/>
      <c r="I61" s="142"/>
      <c r="J61" s="133"/>
      <c r="K61" s="143"/>
      <c r="L61" s="143"/>
      <c r="M61" s="144"/>
      <c r="N61" s="145"/>
      <c r="O61" s="145"/>
      <c r="P61" s="145"/>
      <c r="Q61" s="145"/>
      <c r="R61" s="145"/>
      <c r="S61" s="145"/>
      <c r="T61" s="145"/>
      <c r="U61" s="145"/>
      <c r="V61" s="145"/>
      <c r="W61" s="145"/>
      <c r="X61" s="145"/>
      <c r="Y61" s="145"/>
      <c r="Z61" s="145"/>
      <c r="AA61" s="145"/>
      <c r="AB61" s="145"/>
      <c r="AC61" s="145"/>
      <c r="AD61" s="145"/>
      <c r="AE61" s="145"/>
      <c r="AF61" s="233"/>
      <c r="AG61" s="145"/>
      <c r="AH61" s="145"/>
      <c r="AI61" s="145"/>
      <c r="AJ61" s="145"/>
      <c r="AK61" s="145"/>
      <c r="AL61" s="145"/>
      <c r="AM61" s="145"/>
      <c r="AN61" s="145"/>
      <c r="AO61" s="145"/>
      <c r="AP61" s="145"/>
      <c r="AQ61" s="145"/>
      <c r="AR61" s="145"/>
      <c r="AS61" s="145"/>
      <c r="AT61" s="145"/>
      <c r="AU61" s="145"/>
      <c r="AV61" s="145"/>
      <c r="AW61" s="145"/>
      <c r="AX61" s="145"/>
      <c r="AY61" s="229"/>
      <c r="AZ61" s="145"/>
      <c r="BA61" s="145"/>
      <c r="BB61" s="145"/>
      <c r="BC61" s="145"/>
      <c r="BD61" s="145"/>
      <c r="BE61" s="145"/>
      <c r="BF61" s="145"/>
      <c r="BG61" s="145"/>
      <c r="BH61" s="145"/>
      <c r="BI61" s="145"/>
      <c r="BJ61" s="145"/>
      <c r="BK61" s="145"/>
      <c r="BL61" s="145"/>
      <c r="BM61" s="145"/>
      <c r="BN61" s="145"/>
      <c r="BO61" s="145"/>
    </row>
    <row r="62" spans="1:72" ht="24.95" customHeight="1" x14ac:dyDescent="0.4">
      <c r="A62" s="141" t="s">
        <v>68</v>
      </c>
      <c r="B62" s="146" t="s">
        <v>178</v>
      </c>
      <c r="C62" s="146"/>
      <c r="D62" s="134"/>
      <c r="E62" s="134"/>
      <c r="F62" s="139"/>
      <c r="G62" s="140"/>
      <c r="H62" s="147"/>
      <c r="I62" s="142"/>
      <c r="J62" s="133"/>
      <c r="K62" s="143"/>
      <c r="L62" s="143"/>
      <c r="M62" s="144"/>
      <c r="N62" s="145"/>
      <c r="O62" s="145"/>
      <c r="P62" s="145"/>
      <c r="Q62" s="145"/>
      <c r="R62" s="145"/>
      <c r="S62" s="145"/>
      <c r="T62" s="145"/>
      <c r="U62" s="145"/>
      <c r="V62" s="145"/>
      <c r="W62" s="145"/>
      <c r="X62" s="145"/>
      <c r="Y62" s="145"/>
      <c r="Z62" s="145"/>
      <c r="AA62" s="145"/>
      <c r="AB62" s="145"/>
      <c r="AC62" s="145"/>
      <c r="AD62" s="145"/>
      <c r="AE62" s="145"/>
      <c r="AF62" s="233"/>
      <c r="AG62" s="145"/>
      <c r="AH62" s="145"/>
      <c r="AI62" s="145"/>
      <c r="AJ62" s="145"/>
      <c r="AK62" s="145"/>
      <c r="AL62" s="145"/>
      <c r="AM62" s="145"/>
      <c r="AN62" s="145"/>
      <c r="AO62" s="145"/>
      <c r="AP62" s="145"/>
      <c r="AQ62" s="145"/>
      <c r="AR62" s="145"/>
      <c r="AS62" s="145"/>
      <c r="AT62" s="145"/>
      <c r="AU62" s="145"/>
      <c r="AV62" s="145"/>
      <c r="AW62" s="145"/>
      <c r="AX62" s="145"/>
      <c r="AY62" s="229"/>
      <c r="AZ62" s="145"/>
      <c r="BA62" s="145"/>
      <c r="BB62" s="145"/>
      <c r="BC62" s="145"/>
      <c r="BD62" s="145"/>
      <c r="BE62" s="145"/>
      <c r="BF62" s="145"/>
      <c r="BG62" s="145"/>
      <c r="BH62" s="145"/>
      <c r="BI62" s="145"/>
      <c r="BJ62" s="145"/>
      <c r="BK62" s="145"/>
      <c r="BL62" s="145"/>
      <c r="BM62" s="145"/>
      <c r="BN62" s="145"/>
      <c r="BO62" s="145"/>
    </row>
    <row r="63" spans="1:72" ht="24.95" customHeight="1" x14ac:dyDescent="0.4">
      <c r="A63" s="147" t="s">
        <v>135</v>
      </c>
      <c r="B63" s="146" t="s">
        <v>179</v>
      </c>
      <c r="C63" s="146"/>
      <c r="D63" s="146"/>
      <c r="E63" s="134"/>
      <c r="F63" s="139"/>
      <c r="G63" s="140"/>
      <c r="H63" s="144"/>
      <c r="I63" s="144"/>
      <c r="J63" s="144"/>
      <c r="K63" s="144"/>
      <c r="L63" s="144"/>
      <c r="M63" s="144"/>
      <c r="N63" s="145"/>
      <c r="O63" s="145"/>
      <c r="P63" s="145"/>
      <c r="Q63" s="145"/>
      <c r="R63" s="145"/>
      <c r="S63" s="145"/>
      <c r="T63" s="145"/>
      <c r="U63" s="145"/>
      <c r="V63" s="145"/>
      <c r="W63" s="145"/>
      <c r="X63" s="148"/>
      <c r="Y63" s="145"/>
      <c r="Z63" s="145"/>
      <c r="AA63" s="145"/>
      <c r="AB63" s="145"/>
      <c r="AC63" s="145"/>
      <c r="AD63" s="145"/>
      <c r="AE63" s="145"/>
      <c r="AF63" s="233"/>
      <c r="AG63" s="145"/>
      <c r="AH63" s="145"/>
      <c r="AI63" s="145"/>
      <c r="AJ63" s="145"/>
      <c r="AK63" s="145"/>
      <c r="AL63" s="145"/>
      <c r="AM63" s="145"/>
      <c r="AN63" s="145"/>
      <c r="AO63" s="145"/>
      <c r="AP63" s="145"/>
      <c r="AQ63" s="145"/>
      <c r="AR63" s="145"/>
      <c r="AS63" s="145"/>
      <c r="AT63" s="145"/>
      <c r="AU63" s="145"/>
      <c r="AV63" s="145"/>
      <c r="AW63" s="145"/>
      <c r="AX63" s="145"/>
      <c r="AY63" s="229"/>
      <c r="AZ63" s="145"/>
      <c r="BA63" s="145"/>
      <c r="BB63" s="145"/>
      <c r="BC63" s="145"/>
      <c r="BD63" s="145"/>
      <c r="BE63" s="145"/>
      <c r="BF63" s="145"/>
      <c r="BG63" s="145"/>
      <c r="BH63" s="145"/>
      <c r="BI63" s="145"/>
      <c r="BJ63" s="145"/>
      <c r="BK63" s="145"/>
      <c r="BL63" s="145"/>
      <c r="BM63" s="145"/>
      <c r="BN63" s="145"/>
      <c r="BO63" s="145"/>
    </row>
    <row r="64" spans="1:72" ht="24.95" customHeight="1" x14ac:dyDescent="0.4">
      <c r="A64" s="147" t="s">
        <v>143</v>
      </c>
      <c r="B64" s="146" t="s">
        <v>180</v>
      </c>
      <c r="C64" s="146"/>
      <c r="D64" s="134"/>
      <c r="E64" s="134"/>
      <c r="F64" s="139"/>
      <c r="G64" s="140"/>
      <c r="H64" s="144"/>
      <c r="I64" s="144"/>
      <c r="J64" s="144"/>
      <c r="K64" s="144"/>
      <c r="L64" s="144"/>
      <c r="M64" s="144"/>
      <c r="N64" s="145"/>
      <c r="O64" s="145"/>
      <c r="P64" s="145"/>
      <c r="Q64" s="145"/>
      <c r="R64" s="145"/>
      <c r="S64" s="145"/>
      <c r="T64" s="145"/>
      <c r="U64" s="145"/>
      <c r="V64" s="145"/>
      <c r="W64" s="145"/>
      <c r="X64" s="148"/>
      <c r="Y64" s="145"/>
      <c r="Z64" s="145"/>
      <c r="AA64" s="145"/>
      <c r="AB64" s="145"/>
      <c r="AC64" s="145"/>
      <c r="AD64" s="145"/>
      <c r="AE64" s="145"/>
      <c r="AF64" s="233"/>
      <c r="AG64" s="145"/>
      <c r="AH64" s="145"/>
      <c r="AI64" s="145"/>
      <c r="AJ64" s="145"/>
      <c r="AK64" s="145"/>
      <c r="AL64" s="145"/>
      <c r="AM64" s="145"/>
      <c r="AN64" s="145"/>
      <c r="AO64" s="145"/>
      <c r="AP64" s="145"/>
      <c r="AQ64" s="145"/>
      <c r="AR64" s="145"/>
      <c r="AS64" s="145"/>
      <c r="AT64" s="145"/>
      <c r="AU64" s="145"/>
      <c r="AV64" s="145"/>
      <c r="AW64" s="145"/>
      <c r="AX64" s="145"/>
      <c r="AY64" s="229"/>
      <c r="AZ64" s="145"/>
      <c r="BA64" s="145"/>
      <c r="BB64" s="145"/>
      <c r="BC64" s="145"/>
      <c r="BD64" s="145"/>
      <c r="BE64" s="145"/>
      <c r="BF64" s="145"/>
      <c r="BG64" s="145"/>
      <c r="BH64" s="145"/>
      <c r="BI64" s="145"/>
      <c r="BJ64" s="145"/>
      <c r="BK64" s="145"/>
      <c r="BL64" s="145"/>
      <c r="BM64" s="145"/>
      <c r="BN64" s="145"/>
      <c r="BO64" s="145"/>
    </row>
    <row r="65" spans="1:67" ht="24.95" customHeight="1" x14ac:dyDescent="0.4">
      <c r="A65" s="147" t="s">
        <v>181</v>
      </c>
      <c r="B65" s="146" t="s">
        <v>182</v>
      </c>
      <c r="C65" s="146"/>
      <c r="D65" s="134"/>
      <c r="E65" s="134"/>
      <c r="F65" s="139"/>
      <c r="G65" s="140"/>
      <c r="H65" s="144"/>
      <c r="I65" s="144"/>
      <c r="J65" s="144"/>
      <c r="K65" s="144"/>
      <c r="L65" s="144"/>
      <c r="M65" s="144"/>
      <c r="N65" s="145"/>
      <c r="O65" s="145"/>
      <c r="P65" s="145"/>
      <c r="Q65" s="145"/>
      <c r="R65" s="145"/>
      <c r="S65" s="145"/>
      <c r="T65" s="145"/>
      <c r="U65" s="145"/>
      <c r="V65" s="145"/>
      <c r="W65" s="145"/>
      <c r="X65" s="148"/>
      <c r="Y65" s="145"/>
      <c r="Z65" s="145"/>
      <c r="AA65" s="145"/>
      <c r="AB65" s="145"/>
      <c r="AC65" s="145"/>
      <c r="AD65" s="145"/>
      <c r="AE65" s="145"/>
      <c r="AF65" s="233"/>
      <c r="AG65" s="145"/>
      <c r="AH65" s="145"/>
      <c r="AI65" s="145"/>
      <c r="AJ65" s="145"/>
      <c r="AK65" s="145"/>
      <c r="AL65" s="145"/>
      <c r="AM65" s="145"/>
      <c r="AN65" s="145"/>
      <c r="AO65" s="145"/>
      <c r="AP65" s="145"/>
      <c r="AQ65" s="145"/>
      <c r="AR65" s="145"/>
      <c r="AS65" s="145"/>
      <c r="AT65" s="145"/>
      <c r="AU65" s="145"/>
      <c r="AV65" s="145"/>
      <c r="AW65" s="145"/>
      <c r="AX65" s="145"/>
      <c r="AY65" s="229"/>
      <c r="AZ65" s="145"/>
      <c r="BA65" s="145"/>
      <c r="BB65" s="145"/>
      <c r="BC65" s="145"/>
      <c r="BD65" s="145"/>
      <c r="BE65" s="145"/>
      <c r="BF65" s="145"/>
      <c r="BG65" s="145"/>
      <c r="BH65" s="145"/>
      <c r="BI65" s="145"/>
      <c r="BJ65" s="145"/>
      <c r="BK65" s="145"/>
      <c r="BL65" s="145"/>
      <c r="BM65" s="145"/>
      <c r="BN65" s="145"/>
      <c r="BO65" s="145"/>
    </row>
    <row r="66" spans="1:67" ht="24.95" customHeight="1" x14ac:dyDescent="0.4">
      <c r="A66" s="147" t="s">
        <v>169</v>
      </c>
      <c r="B66" s="146" t="s">
        <v>183</v>
      </c>
      <c r="C66" s="146"/>
      <c r="D66" s="134"/>
      <c r="E66" s="134"/>
      <c r="F66" s="139"/>
      <c r="G66" s="140"/>
      <c r="H66" s="144"/>
      <c r="I66" s="144"/>
      <c r="J66" s="144"/>
      <c r="K66" s="144"/>
      <c r="L66" s="144"/>
      <c r="M66" s="144"/>
      <c r="N66" s="145"/>
      <c r="O66" s="145"/>
      <c r="P66" s="145"/>
      <c r="Q66" s="145"/>
      <c r="R66" s="145"/>
      <c r="S66" s="145"/>
      <c r="T66" s="145"/>
      <c r="U66" s="145"/>
      <c r="V66" s="145"/>
      <c r="W66" s="145"/>
      <c r="X66" s="148"/>
      <c r="Y66" s="145"/>
      <c r="Z66" s="145"/>
      <c r="AA66" s="145"/>
      <c r="AB66" s="145"/>
      <c r="AC66" s="145"/>
      <c r="AD66" s="145"/>
      <c r="AE66" s="145"/>
      <c r="AF66" s="233"/>
      <c r="AG66" s="145"/>
      <c r="AH66" s="145"/>
      <c r="AI66" s="145"/>
      <c r="AJ66" s="145"/>
      <c r="AK66" s="145"/>
      <c r="AL66" s="145"/>
      <c r="AM66" s="145"/>
      <c r="AN66" s="145"/>
      <c r="AO66" s="145"/>
      <c r="AP66" s="145"/>
      <c r="AQ66" s="145"/>
      <c r="AR66" s="145"/>
      <c r="AS66" s="145"/>
      <c r="AT66" s="145"/>
      <c r="AU66" s="145"/>
      <c r="AV66" s="145"/>
      <c r="AW66" s="145"/>
      <c r="AX66" s="145"/>
      <c r="AY66" s="229"/>
      <c r="AZ66" s="145"/>
      <c r="BA66" s="145"/>
      <c r="BB66" s="145"/>
      <c r="BC66" s="145"/>
      <c r="BD66" s="145"/>
      <c r="BE66" s="145"/>
      <c r="BF66" s="145"/>
      <c r="BG66" s="145"/>
      <c r="BH66" s="145"/>
      <c r="BI66" s="145"/>
      <c r="BJ66" s="145"/>
      <c r="BK66" s="145"/>
      <c r="BL66" s="145"/>
      <c r="BM66" s="145"/>
      <c r="BN66" s="145"/>
      <c r="BO66" s="145"/>
    </row>
    <row r="67" spans="1:67" ht="24.95" customHeight="1" x14ac:dyDescent="0.4">
      <c r="A67" s="147" t="s">
        <v>147</v>
      </c>
      <c r="B67" s="146" t="s">
        <v>184</v>
      </c>
      <c r="C67" s="146"/>
      <c r="D67" s="134"/>
      <c r="E67" s="134"/>
      <c r="F67" s="139"/>
      <c r="G67" s="140"/>
      <c r="H67" s="144"/>
      <c r="I67" s="144"/>
      <c r="J67" s="144"/>
      <c r="K67" s="144"/>
      <c r="L67" s="144"/>
      <c r="M67" s="144"/>
      <c r="N67" s="145"/>
      <c r="O67" s="145"/>
      <c r="P67" s="145"/>
      <c r="Q67" s="145"/>
      <c r="R67" s="145"/>
      <c r="S67" s="145"/>
      <c r="T67" s="145"/>
      <c r="U67" s="145"/>
      <c r="V67" s="145"/>
      <c r="W67" s="145"/>
      <c r="X67" s="148"/>
      <c r="Y67" s="145"/>
      <c r="Z67" s="145"/>
      <c r="AA67" s="145"/>
      <c r="AB67" s="145"/>
      <c r="AC67" s="145"/>
      <c r="AD67" s="145"/>
      <c r="AE67" s="145"/>
      <c r="AF67" s="233"/>
      <c r="AG67" s="145"/>
      <c r="AH67" s="145"/>
      <c r="AI67" s="145"/>
      <c r="AJ67" s="145"/>
      <c r="AK67" s="145"/>
      <c r="AL67" s="145"/>
      <c r="AM67" s="145"/>
      <c r="AN67" s="145"/>
      <c r="AO67" s="145"/>
      <c r="AP67" s="145"/>
      <c r="AQ67" s="145"/>
      <c r="AR67" s="145"/>
      <c r="AS67" s="145"/>
      <c r="AT67" s="145"/>
      <c r="AU67" s="145"/>
      <c r="AV67" s="145"/>
      <c r="AW67" s="145"/>
      <c r="AX67" s="145"/>
      <c r="AY67" s="229"/>
      <c r="AZ67" s="145"/>
      <c r="BA67" s="145"/>
      <c r="BB67" s="145"/>
      <c r="BC67" s="145"/>
      <c r="BD67" s="145"/>
      <c r="BE67" s="145"/>
      <c r="BF67" s="145"/>
      <c r="BG67" s="145"/>
      <c r="BH67" s="145"/>
      <c r="BI67" s="145"/>
      <c r="BJ67" s="145"/>
      <c r="BK67" s="145"/>
      <c r="BL67" s="145"/>
      <c r="BM67" s="145"/>
      <c r="BN67" s="145"/>
      <c r="BO67" s="145"/>
    </row>
    <row r="68" spans="1:67" ht="24.95" customHeight="1" x14ac:dyDescent="0.4">
      <c r="A68" s="147" t="s">
        <v>126</v>
      </c>
      <c r="B68" s="146" t="s">
        <v>185</v>
      </c>
      <c r="C68" s="146"/>
      <c r="D68" s="134"/>
      <c r="E68" s="134"/>
      <c r="F68" s="139"/>
      <c r="G68" s="140"/>
      <c r="H68" s="144"/>
      <c r="I68" s="144"/>
      <c r="J68" s="144"/>
      <c r="K68" s="144"/>
      <c r="L68" s="144"/>
      <c r="M68" s="144"/>
      <c r="N68" s="145"/>
      <c r="O68" s="145"/>
      <c r="P68" s="145"/>
      <c r="Q68" s="145"/>
      <c r="R68" s="145"/>
      <c r="S68" s="145"/>
      <c r="T68" s="145"/>
      <c r="U68" s="145"/>
      <c r="V68" s="145"/>
      <c r="W68" s="145"/>
      <c r="X68" s="148"/>
      <c r="Y68" s="145"/>
      <c r="Z68" s="145"/>
      <c r="AA68" s="145"/>
      <c r="AB68" s="145"/>
      <c r="AC68" s="145"/>
      <c r="AD68" s="145"/>
      <c r="AE68" s="145"/>
      <c r="AF68" s="233"/>
      <c r="AG68" s="145"/>
      <c r="AH68" s="145"/>
      <c r="AI68" s="145"/>
      <c r="AJ68" s="145"/>
      <c r="AK68" s="145"/>
      <c r="AL68" s="145"/>
      <c r="AM68" s="145"/>
      <c r="AN68" s="145"/>
      <c r="AO68" s="145"/>
      <c r="AP68" s="145"/>
      <c r="AQ68" s="145"/>
      <c r="AR68" s="145"/>
      <c r="AS68" s="145"/>
      <c r="AT68" s="145"/>
      <c r="AU68" s="145"/>
      <c r="AV68" s="145"/>
      <c r="AW68" s="145"/>
      <c r="AX68" s="145"/>
      <c r="AY68" s="229"/>
      <c r="AZ68" s="145"/>
      <c r="BA68" s="145"/>
      <c r="BB68" s="145"/>
      <c r="BC68" s="145"/>
      <c r="BD68" s="145"/>
      <c r="BE68" s="145"/>
      <c r="BF68" s="145"/>
      <c r="BG68" s="145"/>
      <c r="BH68" s="145"/>
      <c r="BI68" s="145"/>
      <c r="BJ68" s="145"/>
      <c r="BK68" s="145"/>
      <c r="BL68" s="145"/>
      <c r="BM68" s="145"/>
      <c r="BN68" s="145"/>
      <c r="BO68" s="145"/>
    </row>
    <row r="69" spans="1:67" ht="24.95" customHeight="1" x14ac:dyDescent="0.4">
      <c r="A69" s="147" t="s">
        <v>171</v>
      </c>
      <c r="B69" s="146" t="s">
        <v>186</v>
      </c>
      <c r="C69" s="146"/>
      <c r="D69" s="134"/>
      <c r="E69" s="134"/>
      <c r="F69" s="139"/>
      <c r="G69" s="140"/>
      <c r="H69" s="144"/>
      <c r="I69" s="144"/>
      <c r="J69" s="144"/>
      <c r="K69" s="144"/>
      <c r="L69" s="144"/>
      <c r="M69" s="144"/>
      <c r="N69" s="145"/>
      <c r="O69" s="145"/>
      <c r="P69" s="145"/>
      <c r="Q69" s="145"/>
      <c r="R69" s="145"/>
      <c r="S69" s="145"/>
      <c r="T69" s="145"/>
      <c r="U69" s="145"/>
      <c r="V69" s="145"/>
      <c r="W69" s="145"/>
      <c r="X69" s="148"/>
      <c r="Y69" s="145"/>
      <c r="Z69" s="145"/>
      <c r="AA69" s="145"/>
      <c r="AB69" s="145"/>
      <c r="AC69" s="145"/>
      <c r="AD69" s="145"/>
      <c r="AE69" s="145"/>
      <c r="AF69" s="233"/>
      <c r="AG69" s="145"/>
      <c r="AH69" s="145"/>
      <c r="AI69" s="145"/>
      <c r="AJ69" s="145"/>
      <c r="AK69" s="145"/>
      <c r="AL69" s="145"/>
      <c r="AM69" s="145"/>
      <c r="AN69" s="145"/>
      <c r="AO69" s="145"/>
      <c r="AP69" s="145"/>
      <c r="AQ69" s="145"/>
      <c r="AR69" s="145"/>
      <c r="AS69" s="145"/>
      <c r="AT69" s="145"/>
      <c r="AU69" s="145"/>
      <c r="AV69" s="145"/>
      <c r="AW69" s="145"/>
      <c r="AX69" s="145"/>
      <c r="AY69" s="229"/>
      <c r="AZ69" s="145"/>
      <c r="BA69" s="145"/>
      <c r="BB69" s="145"/>
      <c r="BC69" s="145"/>
      <c r="BD69" s="145"/>
      <c r="BE69" s="145"/>
      <c r="BF69" s="145"/>
      <c r="BG69" s="145"/>
      <c r="BH69" s="145"/>
      <c r="BI69" s="145"/>
      <c r="BJ69" s="145"/>
      <c r="BK69" s="145"/>
      <c r="BL69" s="145"/>
      <c r="BM69" s="145"/>
      <c r="BN69" s="145"/>
      <c r="BO69" s="145"/>
    </row>
    <row r="70" spans="1:67" ht="24.95" customHeight="1" x14ac:dyDescent="0.4">
      <c r="A70" s="147" t="s">
        <v>187</v>
      </c>
      <c r="B70" s="146" t="s">
        <v>188</v>
      </c>
      <c r="C70" s="146"/>
      <c r="D70" s="134"/>
      <c r="E70" s="134"/>
      <c r="F70" s="139"/>
      <c r="G70" s="140"/>
      <c r="H70" s="144"/>
      <c r="I70" s="144"/>
      <c r="J70" s="144"/>
      <c r="K70" s="144"/>
      <c r="L70" s="144"/>
      <c r="M70" s="144"/>
      <c r="N70" s="145"/>
      <c r="O70" s="145"/>
      <c r="P70" s="145"/>
      <c r="Q70" s="145"/>
      <c r="R70" s="145"/>
      <c r="S70" s="145"/>
      <c r="T70" s="145"/>
      <c r="U70" s="145"/>
      <c r="V70" s="145"/>
      <c r="W70" s="145"/>
      <c r="X70" s="148"/>
      <c r="Y70" s="145"/>
      <c r="Z70" s="145"/>
      <c r="AA70" s="145"/>
      <c r="AB70" s="145"/>
      <c r="AC70" s="145"/>
      <c r="AD70" s="145"/>
      <c r="AE70" s="145"/>
      <c r="AF70" s="233"/>
      <c r="AG70" s="145"/>
      <c r="AH70" s="145"/>
      <c r="AI70" s="145"/>
      <c r="AJ70" s="145"/>
      <c r="AK70" s="145"/>
      <c r="AL70" s="145"/>
      <c r="AM70" s="145"/>
      <c r="AN70" s="145"/>
      <c r="AO70" s="145"/>
      <c r="AP70" s="145"/>
      <c r="AQ70" s="145"/>
      <c r="AR70" s="145"/>
      <c r="AS70" s="145"/>
      <c r="AT70" s="145"/>
      <c r="AU70" s="145"/>
      <c r="AV70" s="145"/>
      <c r="AW70" s="145"/>
      <c r="AX70" s="145"/>
      <c r="AY70" s="229"/>
      <c r="AZ70" s="145"/>
      <c r="BA70" s="145"/>
      <c r="BB70" s="145"/>
      <c r="BC70" s="145"/>
      <c r="BD70" s="145"/>
      <c r="BE70" s="145"/>
      <c r="BF70" s="145"/>
      <c r="BG70" s="145"/>
      <c r="BH70" s="145"/>
      <c r="BI70" s="145"/>
      <c r="BJ70" s="145"/>
      <c r="BK70" s="145"/>
      <c r="BL70" s="145"/>
      <c r="BM70" s="145"/>
      <c r="BN70" s="145"/>
      <c r="BO70" s="145"/>
    </row>
    <row r="71" spans="1:67" ht="24.95" customHeight="1" x14ac:dyDescent="0.4">
      <c r="A71" s="147"/>
      <c r="C71" s="146"/>
      <c r="D71" s="134"/>
      <c r="E71" s="134"/>
      <c r="F71" s="139"/>
      <c r="G71" s="140"/>
      <c r="H71" s="144"/>
      <c r="I71" s="144"/>
      <c r="J71" s="144"/>
      <c r="K71" s="144"/>
      <c r="L71" s="144"/>
      <c r="M71" s="144"/>
      <c r="N71" s="145"/>
      <c r="O71" s="145"/>
      <c r="P71" s="145"/>
      <c r="Q71" s="145"/>
      <c r="R71" s="145"/>
      <c r="S71" s="145"/>
      <c r="T71" s="145"/>
      <c r="U71" s="145"/>
      <c r="V71" s="145"/>
      <c r="W71" s="145"/>
      <c r="X71" s="148"/>
      <c r="Y71" s="145"/>
      <c r="Z71" s="145"/>
      <c r="AA71" s="145"/>
      <c r="AB71" s="145"/>
      <c r="AC71" s="145"/>
      <c r="AD71" s="145"/>
      <c r="AE71" s="145"/>
      <c r="AF71" s="233"/>
      <c r="AG71" s="145"/>
      <c r="AH71" s="145"/>
      <c r="AI71" s="145"/>
      <c r="AJ71" s="145"/>
      <c r="AK71" s="145"/>
      <c r="AL71" s="145"/>
      <c r="AM71" s="145"/>
      <c r="AN71" s="145"/>
      <c r="AO71" s="145"/>
      <c r="AP71" s="145"/>
      <c r="AQ71" s="145"/>
      <c r="AR71" s="145"/>
      <c r="AS71" s="145"/>
      <c r="AT71" s="145"/>
      <c r="AU71" s="145"/>
      <c r="AV71" s="145"/>
      <c r="AW71" s="145"/>
      <c r="AX71" s="145"/>
      <c r="AY71" s="229"/>
      <c r="AZ71" s="145"/>
      <c r="BA71" s="145"/>
      <c r="BB71" s="145"/>
      <c r="BC71" s="145"/>
      <c r="BD71" s="145"/>
      <c r="BE71" s="145"/>
      <c r="BF71" s="145"/>
      <c r="BG71" s="145"/>
      <c r="BH71" s="145"/>
      <c r="BI71" s="145"/>
      <c r="BJ71" s="145"/>
      <c r="BK71" s="145"/>
      <c r="BL71" s="145"/>
      <c r="BM71" s="145"/>
      <c r="BN71" s="145"/>
      <c r="BO71" s="145"/>
    </row>
    <row r="72" spans="1:67" ht="24.95" customHeight="1" x14ac:dyDescent="0.4">
      <c r="A72" s="147" t="s">
        <v>189</v>
      </c>
      <c r="B72" s="146" t="s">
        <v>190</v>
      </c>
      <c r="C72" s="146"/>
      <c r="D72" s="134"/>
      <c r="E72" s="134"/>
      <c r="F72" s="139"/>
      <c r="G72" s="140"/>
      <c r="H72" s="144"/>
      <c r="I72" s="144"/>
      <c r="J72" s="144"/>
      <c r="K72" s="144"/>
      <c r="L72" s="144"/>
      <c r="M72" s="144"/>
      <c r="N72" s="145"/>
      <c r="O72" s="145"/>
      <c r="P72" s="145"/>
      <c r="Q72" s="145"/>
      <c r="R72" s="145"/>
      <c r="S72" s="145"/>
      <c r="T72" s="145"/>
      <c r="U72" s="145"/>
      <c r="V72" s="145"/>
      <c r="W72" s="145"/>
      <c r="X72" s="148"/>
      <c r="Y72" s="145"/>
      <c r="Z72" s="145"/>
      <c r="AA72" s="145"/>
      <c r="AB72" s="145"/>
      <c r="AC72" s="145"/>
      <c r="AD72" s="145"/>
      <c r="AE72" s="145"/>
      <c r="AF72" s="233"/>
      <c r="AG72" s="145"/>
      <c r="AH72" s="145"/>
      <c r="AI72" s="145"/>
      <c r="AJ72" s="145"/>
      <c r="AK72" s="145"/>
      <c r="AL72" s="145"/>
      <c r="AM72" s="145"/>
      <c r="AN72" s="145"/>
      <c r="AO72" s="145"/>
      <c r="AP72" s="145"/>
      <c r="AQ72" s="145"/>
      <c r="AR72" s="145"/>
      <c r="AS72" s="145"/>
      <c r="AT72" s="145"/>
      <c r="AU72" s="145"/>
      <c r="AV72" s="145"/>
      <c r="AW72" s="145"/>
      <c r="AX72" s="145"/>
      <c r="AY72" s="229"/>
      <c r="AZ72" s="145"/>
      <c r="BA72" s="145"/>
      <c r="BB72" s="145"/>
      <c r="BC72" s="145"/>
      <c r="BD72" s="145"/>
      <c r="BE72" s="145"/>
      <c r="BF72" s="145"/>
      <c r="BG72" s="145"/>
      <c r="BH72" s="145"/>
      <c r="BI72" s="145"/>
      <c r="BJ72" s="145"/>
      <c r="BK72" s="145"/>
      <c r="BL72" s="145"/>
      <c r="BM72" s="145"/>
      <c r="BN72" s="145"/>
      <c r="BO72" s="145"/>
    </row>
    <row r="73" spans="1:67" ht="24.95" customHeight="1" x14ac:dyDescent="0.4">
      <c r="A73" s="149" t="s">
        <v>120</v>
      </c>
      <c r="B73" s="150" t="s">
        <v>191</v>
      </c>
      <c r="C73" s="150"/>
      <c r="D73" s="134"/>
      <c r="E73" s="134"/>
      <c r="F73" s="139"/>
      <c r="G73" s="140"/>
      <c r="H73" s="144"/>
      <c r="I73" s="144"/>
      <c r="J73" s="144"/>
      <c r="K73" s="144"/>
      <c r="L73" s="144"/>
      <c r="M73" s="144"/>
      <c r="N73" s="145"/>
      <c r="O73" s="145"/>
      <c r="P73" s="145"/>
      <c r="Q73" s="145"/>
      <c r="R73" s="145"/>
      <c r="S73" s="145"/>
      <c r="T73" s="145"/>
      <c r="U73" s="145"/>
      <c r="V73" s="145"/>
      <c r="W73" s="145"/>
      <c r="X73" s="148"/>
      <c r="Y73" s="145"/>
      <c r="Z73" s="145"/>
      <c r="AA73" s="145"/>
      <c r="AB73" s="145"/>
      <c r="AC73" s="145"/>
      <c r="AD73" s="145"/>
      <c r="AE73" s="145"/>
      <c r="AF73" s="233"/>
      <c r="AG73" s="145"/>
      <c r="AH73" s="145"/>
      <c r="AI73" s="145"/>
      <c r="AJ73" s="145"/>
      <c r="AK73" s="145"/>
      <c r="AL73" s="145"/>
      <c r="AM73" s="145"/>
      <c r="AN73" s="145"/>
      <c r="AO73" s="145"/>
      <c r="AP73" s="145"/>
      <c r="AQ73" s="145"/>
      <c r="AR73" s="145"/>
      <c r="AS73" s="145"/>
      <c r="AT73" s="145"/>
      <c r="AU73" s="145"/>
      <c r="AV73" s="145"/>
      <c r="AW73" s="145"/>
      <c r="AX73" s="145"/>
      <c r="AY73" s="229"/>
      <c r="AZ73" s="145"/>
      <c r="BA73" s="145"/>
      <c r="BB73" s="145"/>
      <c r="BC73" s="145"/>
      <c r="BD73" s="145"/>
      <c r="BE73" s="145"/>
      <c r="BF73" s="145"/>
      <c r="BG73" s="145"/>
      <c r="BH73" s="145"/>
      <c r="BI73" s="145"/>
      <c r="BJ73" s="145"/>
      <c r="BK73" s="145"/>
      <c r="BL73" s="145"/>
      <c r="BM73" s="145"/>
      <c r="BN73" s="145"/>
      <c r="BO73" s="145"/>
    </row>
    <row r="74" spans="1:67" ht="24.95" customHeight="1" x14ac:dyDescent="0.4">
      <c r="A74" s="149" t="s">
        <v>33</v>
      </c>
      <c r="B74" s="151" t="s">
        <v>192</v>
      </c>
      <c r="C74" s="151"/>
      <c r="D74" s="134"/>
      <c r="E74" s="134"/>
      <c r="F74" s="139"/>
      <c r="G74" s="140"/>
      <c r="H74" s="144"/>
      <c r="I74" s="144"/>
      <c r="J74" s="144"/>
      <c r="K74" s="144"/>
      <c r="L74" s="144"/>
      <c r="M74" s="144"/>
      <c r="N74" s="145"/>
      <c r="O74" s="145"/>
      <c r="P74" s="145"/>
      <c r="Q74" s="145"/>
      <c r="R74" s="145"/>
      <c r="S74" s="145"/>
      <c r="T74" s="145"/>
      <c r="U74" s="145"/>
      <c r="V74" s="145"/>
      <c r="W74" s="145"/>
      <c r="X74" s="148"/>
      <c r="Y74" s="145"/>
      <c r="Z74" s="145"/>
      <c r="AA74" s="145"/>
      <c r="AB74" s="145"/>
      <c r="AC74" s="145"/>
      <c r="AD74" s="145"/>
      <c r="AE74" s="145"/>
      <c r="AF74" s="233"/>
      <c r="AG74" s="145"/>
      <c r="AH74" s="145"/>
      <c r="AI74" s="145"/>
      <c r="AJ74" s="145"/>
      <c r="AK74" s="145"/>
      <c r="AL74" s="145"/>
      <c r="AM74" s="145"/>
      <c r="AN74" s="145"/>
      <c r="AO74" s="145"/>
      <c r="AP74" s="145"/>
      <c r="AQ74" s="145"/>
      <c r="AR74" s="145"/>
      <c r="AS74" s="145"/>
      <c r="AT74" s="145"/>
      <c r="AU74" s="145"/>
      <c r="AV74" s="145"/>
      <c r="AW74" s="145"/>
      <c r="AX74" s="145"/>
      <c r="AY74" s="229"/>
      <c r="AZ74" s="145"/>
      <c r="BA74" s="145"/>
      <c r="BB74" s="145"/>
      <c r="BC74" s="145"/>
      <c r="BD74" s="145"/>
      <c r="BE74" s="145"/>
      <c r="BF74" s="145"/>
      <c r="BG74" s="145"/>
      <c r="BH74" s="145"/>
      <c r="BI74" s="145"/>
      <c r="BJ74" s="145"/>
      <c r="BK74" s="145"/>
      <c r="BL74" s="145"/>
      <c r="BM74" s="145"/>
      <c r="BN74" s="145"/>
      <c r="BO74" s="145"/>
    </row>
    <row r="75" spans="1:67" x14ac:dyDescent="0.4">
      <c r="A75" s="152"/>
      <c r="B75" s="153"/>
      <c r="C75" s="153"/>
      <c r="D75" s="154"/>
      <c r="E75" s="154"/>
      <c r="F75" s="155"/>
      <c r="X75" s="156"/>
    </row>
    <row r="76" spans="1:67" x14ac:dyDescent="0.4">
      <c r="A76" s="152"/>
      <c r="B76" s="152"/>
      <c r="C76" s="152"/>
      <c r="D76" s="154"/>
      <c r="E76" s="154"/>
      <c r="F76" s="155"/>
      <c r="X76" s="156"/>
    </row>
    <row r="77" spans="1:67" x14ac:dyDescent="0.4">
      <c r="A77" s="152"/>
      <c r="B77" s="152"/>
      <c r="C77" s="152"/>
      <c r="D77" s="154"/>
      <c r="E77" s="154"/>
      <c r="F77" s="155"/>
      <c r="X77" s="156"/>
    </row>
    <row r="78" spans="1:67" x14ac:dyDescent="0.4">
      <c r="A78" s="152"/>
      <c r="B78" s="152"/>
      <c r="C78" s="152"/>
      <c r="D78" s="154"/>
      <c r="E78" s="154"/>
      <c r="F78" s="155"/>
      <c r="X78" s="156"/>
    </row>
    <row r="79" spans="1:67" x14ac:dyDescent="0.4">
      <c r="A79" s="152"/>
      <c r="B79" s="152"/>
      <c r="C79" s="152"/>
      <c r="D79" s="154"/>
      <c r="E79" s="154"/>
      <c r="F79" s="155"/>
      <c r="X79" s="156"/>
    </row>
    <row r="80" spans="1:67" x14ac:dyDescent="0.4">
      <c r="A80" s="152"/>
      <c r="B80" s="152"/>
      <c r="C80" s="152"/>
      <c r="D80" s="154"/>
      <c r="E80" s="154"/>
      <c r="F80" s="155"/>
      <c r="X80" s="156"/>
    </row>
    <row r="81" spans="1:24" x14ac:dyDescent="0.4">
      <c r="A81" s="152"/>
      <c r="B81" s="152"/>
      <c r="C81" s="152"/>
      <c r="D81" s="154"/>
      <c r="E81" s="154"/>
      <c r="F81" s="155"/>
      <c r="X81" s="156"/>
    </row>
    <row r="82" spans="1:24" x14ac:dyDescent="0.4">
      <c r="A82" s="152"/>
      <c r="B82" s="152"/>
      <c r="C82" s="152"/>
      <c r="D82" s="154"/>
      <c r="E82" s="154"/>
      <c r="F82" s="155"/>
      <c r="X82" s="156"/>
    </row>
    <row r="83" spans="1:24" x14ac:dyDescent="0.4">
      <c r="A83" s="152"/>
      <c r="B83" s="152"/>
      <c r="C83" s="152"/>
      <c r="D83" s="154"/>
      <c r="E83" s="154"/>
      <c r="F83" s="155"/>
      <c r="X83" s="156"/>
    </row>
    <row r="84" spans="1:24" x14ac:dyDescent="0.4">
      <c r="A84" s="152"/>
      <c r="B84" s="152"/>
      <c r="C84" s="152"/>
      <c r="D84" s="154"/>
      <c r="E84" s="154"/>
      <c r="F84" s="155"/>
      <c r="X84" s="156"/>
    </row>
    <row r="85" spans="1:24" x14ac:dyDescent="0.4">
      <c r="A85" s="152"/>
      <c r="B85" s="152"/>
      <c r="C85" s="152"/>
      <c r="D85" s="154"/>
      <c r="E85" s="154"/>
      <c r="F85" s="155"/>
      <c r="X85" s="156"/>
    </row>
    <row r="86" spans="1:24" x14ac:dyDescent="0.4">
      <c r="A86" s="152"/>
      <c r="B86" s="152"/>
      <c r="C86" s="152"/>
      <c r="D86" s="154"/>
      <c r="E86" s="154"/>
      <c r="F86" s="155"/>
      <c r="X86" s="156"/>
    </row>
    <row r="87" spans="1:24" x14ac:dyDescent="0.4">
      <c r="A87" s="152"/>
      <c r="B87" s="152"/>
      <c r="C87" s="152"/>
      <c r="D87" s="154"/>
      <c r="E87" s="154"/>
      <c r="F87" s="155"/>
      <c r="X87" s="156"/>
    </row>
    <row r="88" spans="1:24" x14ac:dyDescent="0.4">
      <c r="A88" s="152"/>
      <c r="B88" s="152"/>
      <c r="C88" s="152"/>
      <c r="D88" s="154"/>
      <c r="E88" s="154"/>
      <c r="F88" s="155"/>
      <c r="X88" s="156"/>
    </row>
    <row r="89" spans="1:24" x14ac:dyDescent="0.4">
      <c r="A89" s="152"/>
      <c r="B89" s="152"/>
      <c r="C89" s="152"/>
      <c r="D89" s="154"/>
      <c r="E89" s="154"/>
      <c r="F89" s="155"/>
      <c r="X89" s="156"/>
    </row>
    <row r="90" spans="1:24" x14ac:dyDescent="0.4">
      <c r="A90" s="152"/>
      <c r="B90" s="152"/>
      <c r="C90" s="152"/>
      <c r="D90" s="154"/>
      <c r="E90" s="154"/>
      <c r="F90" s="155"/>
      <c r="X90" s="156"/>
    </row>
    <row r="91" spans="1:24" x14ac:dyDescent="0.4">
      <c r="A91" s="152"/>
      <c r="B91" s="152"/>
      <c r="C91" s="152"/>
      <c r="D91" s="154"/>
      <c r="E91" s="154"/>
      <c r="F91" s="155"/>
      <c r="X91" s="156"/>
    </row>
    <row r="92" spans="1:24" x14ac:dyDescent="0.4">
      <c r="A92" s="152"/>
      <c r="B92" s="152"/>
      <c r="C92" s="152"/>
      <c r="D92" s="154"/>
      <c r="E92" s="154"/>
      <c r="F92" s="155"/>
      <c r="X92" s="156"/>
    </row>
    <row r="93" spans="1:24" x14ac:dyDescent="0.4">
      <c r="A93" s="152"/>
      <c r="B93" s="152"/>
      <c r="C93" s="152"/>
      <c r="D93" s="154"/>
      <c r="E93" s="154"/>
      <c r="F93" s="155"/>
      <c r="X93" s="156"/>
    </row>
    <row r="94" spans="1:24" x14ac:dyDescent="0.4">
      <c r="A94" s="152"/>
      <c r="B94" s="152"/>
      <c r="C94" s="152"/>
      <c r="D94" s="154"/>
      <c r="E94" s="154"/>
      <c r="F94" s="155"/>
      <c r="X94" s="156"/>
    </row>
    <row r="95" spans="1:24" x14ac:dyDescent="0.4">
      <c r="A95" s="152"/>
      <c r="B95" s="152"/>
      <c r="C95" s="152"/>
      <c r="D95" s="154"/>
      <c r="E95" s="154"/>
      <c r="F95" s="155"/>
      <c r="X95" s="156"/>
    </row>
    <row r="96" spans="1:24" x14ac:dyDescent="0.4">
      <c r="A96" s="152"/>
      <c r="B96" s="152"/>
      <c r="C96" s="152"/>
      <c r="D96" s="154"/>
      <c r="E96" s="154"/>
      <c r="F96" s="155"/>
      <c r="X96" s="156"/>
    </row>
    <row r="97" spans="1:24" x14ac:dyDescent="0.4">
      <c r="A97" s="152"/>
      <c r="B97" s="152"/>
      <c r="C97" s="152"/>
      <c r="D97" s="154"/>
      <c r="E97" s="154"/>
      <c r="F97" s="155"/>
      <c r="X97" s="156"/>
    </row>
    <row r="98" spans="1:24" x14ac:dyDescent="0.4">
      <c r="A98" s="152"/>
      <c r="B98" s="152"/>
      <c r="C98" s="152"/>
      <c r="D98" s="154"/>
      <c r="E98" s="154"/>
      <c r="F98" s="155"/>
      <c r="X98" s="156"/>
    </row>
    <row r="99" spans="1:24" x14ac:dyDescent="0.4">
      <c r="A99" s="152"/>
      <c r="B99" s="152"/>
      <c r="C99" s="152"/>
      <c r="D99" s="154"/>
      <c r="E99" s="154"/>
      <c r="F99" s="155"/>
      <c r="X99" s="156"/>
    </row>
    <row r="100" spans="1:24" x14ac:dyDescent="0.4">
      <c r="A100" s="152"/>
      <c r="B100" s="152"/>
      <c r="C100" s="152"/>
      <c r="D100" s="154"/>
      <c r="E100" s="154"/>
      <c r="F100" s="155"/>
      <c r="X100" s="156"/>
    </row>
    <row r="101" spans="1:24" x14ac:dyDescent="0.4">
      <c r="A101" s="152"/>
      <c r="B101" s="152"/>
      <c r="C101" s="152"/>
      <c r="D101" s="154"/>
      <c r="E101" s="154"/>
      <c r="F101" s="155"/>
      <c r="X101" s="156"/>
    </row>
    <row r="102" spans="1:24" x14ac:dyDescent="0.4">
      <c r="A102" s="152"/>
      <c r="B102" s="152"/>
      <c r="C102" s="152"/>
      <c r="D102" s="154"/>
      <c r="E102" s="154"/>
      <c r="F102" s="155"/>
      <c r="X102" s="156"/>
    </row>
    <row r="103" spans="1:24" x14ac:dyDescent="0.4">
      <c r="X103" s="156"/>
    </row>
    <row r="104" spans="1:24" x14ac:dyDescent="0.4">
      <c r="X104" s="156"/>
    </row>
    <row r="105" spans="1:24" x14ac:dyDescent="0.4">
      <c r="X105" s="156"/>
    </row>
    <row r="106" spans="1:24" x14ac:dyDescent="0.4">
      <c r="X106" s="156"/>
    </row>
    <row r="107" spans="1:24" x14ac:dyDescent="0.4">
      <c r="X107" s="156"/>
    </row>
    <row r="108" spans="1:24" x14ac:dyDescent="0.4">
      <c r="X108" s="156"/>
    </row>
    <row r="109" spans="1:24" x14ac:dyDescent="0.4">
      <c r="X109" s="156"/>
    </row>
    <row r="110" spans="1:24" x14ac:dyDescent="0.4">
      <c r="X110" s="156"/>
    </row>
    <row r="111" spans="1:24" x14ac:dyDescent="0.4">
      <c r="X111" s="156"/>
    </row>
    <row r="112" spans="1:24" x14ac:dyDescent="0.4">
      <c r="X112" s="156"/>
    </row>
    <row r="113" spans="24:24" x14ac:dyDescent="0.4">
      <c r="X113" s="156"/>
    </row>
    <row r="114" spans="24:24" x14ac:dyDescent="0.4">
      <c r="X114" s="156"/>
    </row>
    <row r="115" spans="24:24" x14ac:dyDescent="0.4">
      <c r="X115" s="156"/>
    </row>
    <row r="116" spans="24:24" x14ac:dyDescent="0.4">
      <c r="X116" s="156"/>
    </row>
    <row r="117" spans="24:24" x14ac:dyDescent="0.4">
      <c r="X117" s="156"/>
    </row>
    <row r="118" spans="24:24" x14ac:dyDescent="0.4">
      <c r="X118" s="156"/>
    </row>
    <row r="119" spans="24:24" x14ac:dyDescent="0.4">
      <c r="X119" s="156"/>
    </row>
    <row r="120" spans="24:24" x14ac:dyDescent="0.4">
      <c r="X120" s="157"/>
    </row>
    <row r="121" spans="24:24" x14ac:dyDescent="0.4">
      <c r="X121" s="157"/>
    </row>
    <row r="122" spans="24:24" x14ac:dyDescent="0.4">
      <c r="X122" s="157"/>
    </row>
    <row r="123" spans="24:24" x14ac:dyDescent="0.4">
      <c r="X123" s="157"/>
    </row>
    <row r="124" spans="24:24" x14ac:dyDescent="0.4">
      <c r="X124" s="157"/>
    </row>
    <row r="125" spans="24:24" x14ac:dyDescent="0.4">
      <c r="X125" s="157"/>
    </row>
  </sheetData>
  <sheetProtection formatRows="0" insertColumns="0" insertRows="0" insertHyperlinks="0" selectLockedCells="1" autoFilter="0" selectUnlockedCells="1"/>
  <autoFilter ref="B4:B5" xr:uid="{51CE6279-C46B-4C7F-ABC9-E18119488A9D}"/>
  <sortState xmlns:xlrd2="http://schemas.microsoft.com/office/spreadsheetml/2017/richdata2" ref="A7:BO58">
    <sortCondition ref="B7"/>
  </sortState>
  <customSheetViews>
    <customSheetView guid="{00D01216-4B44-433C-B036-BE1A6969F2B5}" scale="85" showAutoFilter="1" topLeftCell="D1">
      <selection activeCell="D8" sqref="D8"/>
      <pageMargins left="0" right="0" top="0" bottom="0" header="0" footer="0"/>
      <pageSetup orientation="portrait" r:id="rId1"/>
      <autoFilter ref="B4:B57" xr:uid="{00000000-0000-0000-0000-000000000000}"/>
    </customSheetView>
  </customSheetViews>
  <mergeCells count="20">
    <mergeCell ref="A60:D60"/>
    <mergeCell ref="AK5:BO5"/>
    <mergeCell ref="AD5:AJ5"/>
    <mergeCell ref="F3:J3"/>
    <mergeCell ref="Y5:AC5"/>
    <mergeCell ref="K5:N5"/>
    <mergeCell ref="O5:U5"/>
    <mergeCell ref="K2:BO2"/>
    <mergeCell ref="AJ3:AJ4"/>
    <mergeCell ref="AH3:AH4"/>
    <mergeCell ref="AI3:AI4"/>
    <mergeCell ref="AG3:AG4"/>
    <mergeCell ref="Y3:AC3"/>
    <mergeCell ref="K3:N3"/>
    <mergeCell ref="O3:X3"/>
    <mergeCell ref="AD3:AD4"/>
    <mergeCell ref="AF3:AF4"/>
    <mergeCell ref="AK3:AY3"/>
    <mergeCell ref="BA3:BO3"/>
    <mergeCell ref="AE3:AE4"/>
  </mergeCells>
  <phoneticPr fontId="61" type="noConversion"/>
  <printOptions horizontalCentered="1" verticalCentered="1"/>
  <pageMargins left="0.05" right="0.05" top="0.1" bottom="0.1" header="0.05" footer="0.05"/>
  <pageSetup paperSize="3" scale="24" fitToHeight="0" pageOrder="overThenDown" orientation="landscape" r:id="rId2"/>
  <headerFooter>
    <oddFooter>Page &amp;P of &amp;N</oddFooter>
  </headerFooter>
  <colBreaks count="3" manualBreakCount="3">
    <brk id="15" max="70" man="1"/>
    <brk id="36" max="74" man="1"/>
    <brk id="50" max="7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99"/>
  <sheetViews>
    <sheetView view="pageBreakPreview" topLeftCell="F38" zoomScale="40" zoomScaleNormal="55" zoomScaleSheetLayoutView="40" zoomScalePageLayoutView="40" workbookViewId="0">
      <selection activeCell="P60" sqref="P60"/>
    </sheetView>
  </sheetViews>
  <sheetFormatPr defaultRowHeight="16.5" x14ac:dyDescent="0.25"/>
  <cols>
    <col min="1" max="1" width="37.85546875" style="163" customWidth="1"/>
    <col min="2" max="2" width="37.85546875" style="163" hidden="1" customWidth="1"/>
    <col min="3" max="3" width="46.7109375" style="163" customWidth="1"/>
    <col min="4" max="4" width="58.42578125" style="163" customWidth="1"/>
    <col min="5" max="5" width="13.7109375" style="163" customWidth="1"/>
    <col min="6" max="6" width="31.5703125" style="163" customWidth="1"/>
    <col min="7" max="7" width="16.140625" style="163" customWidth="1"/>
    <col min="8" max="8" width="22.28515625" style="163" customWidth="1"/>
    <col min="9" max="9" width="22.7109375" style="163" customWidth="1"/>
    <col min="10" max="10" width="17.28515625" style="163" customWidth="1"/>
    <col min="11" max="11" width="22.5703125" style="163" customWidth="1"/>
    <col min="12" max="12" width="18.5703125" style="163" customWidth="1"/>
    <col min="13" max="13" width="21" style="163" customWidth="1"/>
    <col min="14" max="15" width="15" style="163" hidden="1" customWidth="1"/>
    <col min="16" max="16" width="16" style="164" customWidth="1"/>
    <col min="17" max="17" width="15.7109375" style="165" customWidth="1"/>
    <col min="18" max="18" width="12.42578125" style="163" customWidth="1"/>
    <col min="19" max="19" width="18.28515625" style="163" customWidth="1"/>
    <col min="20" max="20" width="16.28515625" style="163" customWidth="1"/>
    <col min="21" max="21" width="18.5703125" style="163" customWidth="1"/>
    <col min="22" max="22" width="17.5703125" style="163" customWidth="1"/>
    <col min="23" max="23" width="15.140625" style="163" customWidth="1"/>
    <col min="24" max="24" width="22" style="163" customWidth="1"/>
    <col min="25" max="25" width="18.5703125" style="163" customWidth="1"/>
    <col min="26" max="26" width="14.85546875" style="163" customWidth="1"/>
    <col min="27" max="27" width="17.5703125" style="163" customWidth="1"/>
    <col min="28" max="28" width="16.28515625" style="163" customWidth="1"/>
    <col min="29" max="29" width="14.7109375" style="163" customWidth="1"/>
    <col min="30" max="30" width="21.140625" style="163" customWidth="1"/>
    <col min="31" max="31" width="20" style="163" hidden="1" customWidth="1"/>
    <col min="32" max="32" width="19.7109375" style="163" customWidth="1"/>
    <col min="33" max="33" width="19.28515625" style="163" customWidth="1"/>
    <col min="34" max="34" width="21" style="163" customWidth="1"/>
    <col min="35" max="35" width="20" style="163" customWidth="1"/>
    <col min="36" max="16384" width="9.140625" style="163"/>
  </cols>
  <sheetData>
    <row r="1" spans="1:35" x14ac:dyDescent="0.25">
      <c r="A1" s="161" t="s">
        <v>193</v>
      </c>
      <c r="B1" s="161"/>
      <c r="C1" s="162"/>
      <c r="F1" s="162"/>
    </row>
    <row r="2" spans="1:35" x14ac:dyDescent="0.25">
      <c r="A2" s="166" t="s">
        <v>194</v>
      </c>
      <c r="B2" s="166"/>
      <c r="C2" s="162"/>
      <c r="F2" s="162"/>
    </row>
    <row r="3" spans="1:35" x14ac:dyDescent="0.25">
      <c r="C3" s="162"/>
      <c r="F3" s="162"/>
    </row>
    <row r="4" spans="1:35" s="179" customFormat="1" ht="51.75" thickBot="1" x14ac:dyDescent="1.25">
      <c r="A4" s="69" t="s">
        <v>195</v>
      </c>
      <c r="B4" s="69"/>
      <c r="C4" s="178"/>
      <c r="F4" s="178"/>
      <c r="P4" s="180"/>
      <c r="Q4" s="181"/>
    </row>
    <row r="5" spans="1:35" ht="45.75" customHeight="1" x14ac:dyDescent="0.3">
      <c r="A5" s="284"/>
      <c r="B5" s="285"/>
      <c r="C5" s="286"/>
      <c r="D5" s="286"/>
      <c r="E5" s="286"/>
      <c r="F5" s="286"/>
      <c r="G5" s="286"/>
      <c r="H5" s="286"/>
      <c r="I5" s="414" t="s">
        <v>196</v>
      </c>
      <c r="J5" s="414"/>
      <c r="K5" s="414"/>
      <c r="L5" s="414"/>
      <c r="M5" s="414"/>
      <c r="N5" s="414"/>
      <c r="O5" s="414"/>
      <c r="P5" s="414"/>
      <c r="Q5" s="414"/>
      <c r="R5" s="414"/>
      <c r="S5" s="414"/>
      <c r="T5" s="414"/>
      <c r="U5" s="415" t="s">
        <v>197</v>
      </c>
      <c r="V5" s="415"/>
      <c r="W5" s="415"/>
      <c r="X5" s="415"/>
      <c r="Y5" s="415"/>
      <c r="Z5" s="415"/>
      <c r="AA5" s="415"/>
      <c r="AB5" s="415"/>
      <c r="AC5" s="415"/>
      <c r="AD5" s="415"/>
      <c r="AE5" s="415"/>
      <c r="AF5" s="415"/>
      <c r="AG5" s="415"/>
      <c r="AH5" s="415"/>
      <c r="AI5" s="416"/>
    </row>
    <row r="6" spans="1:35" s="167" customFormat="1" ht="90" x14ac:dyDescent="0.25">
      <c r="A6" s="287" t="s">
        <v>198</v>
      </c>
      <c r="B6" s="288"/>
      <c r="C6" s="289"/>
      <c r="D6" s="290"/>
      <c r="E6" s="290"/>
      <c r="F6" s="289"/>
      <c r="G6" s="290"/>
      <c r="H6" s="290"/>
      <c r="I6" s="291" t="s">
        <v>199</v>
      </c>
      <c r="J6" s="292">
        <v>20</v>
      </c>
      <c r="K6" s="292" t="s">
        <v>200</v>
      </c>
      <c r="L6" s="292">
        <v>400</v>
      </c>
      <c r="M6" s="292">
        <v>61</v>
      </c>
      <c r="N6" s="292"/>
      <c r="O6" s="292"/>
      <c r="P6" s="293">
        <v>1</v>
      </c>
      <c r="Q6" s="294">
        <v>0.1</v>
      </c>
      <c r="R6" s="292">
        <v>0.5</v>
      </c>
      <c r="S6" s="292">
        <v>0.3</v>
      </c>
      <c r="T6" s="292">
        <v>0.05</v>
      </c>
      <c r="U6" s="292"/>
      <c r="V6" s="292">
        <v>5</v>
      </c>
      <c r="W6" s="292">
        <v>100</v>
      </c>
      <c r="X6" s="292">
        <v>50</v>
      </c>
      <c r="Y6" s="292">
        <v>16</v>
      </c>
      <c r="Z6" s="292">
        <v>50</v>
      </c>
      <c r="AA6" s="292"/>
      <c r="AB6" s="295"/>
      <c r="AC6" s="296"/>
      <c r="AD6" s="292"/>
      <c r="AE6" s="292"/>
      <c r="AF6" s="292"/>
      <c r="AG6" s="297"/>
      <c r="AH6" s="296"/>
      <c r="AI6" s="298"/>
    </row>
    <row r="7" spans="1:35" s="168" customFormat="1" ht="148.5" customHeight="1" x14ac:dyDescent="0.25">
      <c r="A7" s="317" t="s">
        <v>68</v>
      </c>
      <c r="B7" s="301"/>
      <c r="C7" s="301" t="s">
        <v>201</v>
      </c>
      <c r="D7" s="301" t="s">
        <v>202</v>
      </c>
      <c r="E7" s="301" t="s">
        <v>7</v>
      </c>
      <c r="F7" s="301" t="s">
        <v>203</v>
      </c>
      <c r="G7" s="301" t="s">
        <v>204</v>
      </c>
      <c r="H7" s="301" t="s">
        <v>205</v>
      </c>
      <c r="I7" s="301" t="s">
        <v>206</v>
      </c>
      <c r="J7" s="301" t="s">
        <v>207</v>
      </c>
      <c r="K7" s="301" t="s">
        <v>208</v>
      </c>
      <c r="L7" s="301" t="s">
        <v>209</v>
      </c>
      <c r="M7" s="301" t="s">
        <v>210</v>
      </c>
      <c r="N7" s="303" t="s">
        <v>75</v>
      </c>
      <c r="O7" s="303" t="s">
        <v>77</v>
      </c>
      <c r="P7" s="304" t="s">
        <v>211</v>
      </c>
      <c r="Q7" s="305" t="s">
        <v>212</v>
      </c>
      <c r="R7" s="301" t="s">
        <v>213</v>
      </c>
      <c r="S7" s="301" t="s">
        <v>214</v>
      </c>
      <c r="T7" s="301" t="s">
        <v>215</v>
      </c>
      <c r="U7" s="301" t="s">
        <v>216</v>
      </c>
      <c r="V7" s="301" t="s">
        <v>217</v>
      </c>
      <c r="W7" s="301" t="s">
        <v>218</v>
      </c>
      <c r="X7" s="301" t="s">
        <v>219</v>
      </c>
      <c r="Y7" s="301" t="s">
        <v>220</v>
      </c>
      <c r="Z7" s="301" t="s">
        <v>221</v>
      </c>
      <c r="AA7" s="301" t="s">
        <v>222</v>
      </c>
      <c r="AB7" s="301" t="s">
        <v>223</v>
      </c>
      <c r="AC7" s="301" t="s">
        <v>224</v>
      </c>
      <c r="AD7" s="301" t="s">
        <v>225</v>
      </c>
      <c r="AE7" s="301"/>
      <c r="AF7" s="301" t="s">
        <v>226</v>
      </c>
      <c r="AG7" s="301" t="s">
        <v>227</v>
      </c>
      <c r="AH7" s="301" t="s">
        <v>228</v>
      </c>
      <c r="AI7" s="306" t="s">
        <v>229</v>
      </c>
    </row>
    <row r="8" spans="1:35" s="168" customFormat="1" ht="88.5" hidden="1" customHeight="1" x14ac:dyDescent="0.25">
      <c r="A8" s="299"/>
      <c r="B8" s="300"/>
      <c r="C8" s="300"/>
      <c r="D8" s="301"/>
      <c r="E8" s="301"/>
      <c r="F8" s="301"/>
      <c r="G8" s="302"/>
      <c r="H8" s="301"/>
      <c r="I8" s="301"/>
      <c r="J8" s="301"/>
      <c r="K8" s="301"/>
      <c r="L8" s="301"/>
      <c r="M8" s="301"/>
      <c r="N8" s="303"/>
      <c r="O8" s="303"/>
      <c r="P8" s="304"/>
      <c r="Q8" s="305"/>
      <c r="R8" s="301"/>
      <c r="S8" s="301"/>
      <c r="T8" s="301"/>
      <c r="U8" s="301"/>
      <c r="V8" s="301"/>
      <c r="W8" s="301"/>
      <c r="X8" s="301"/>
      <c r="Y8" s="301"/>
      <c r="Z8" s="301"/>
      <c r="AA8" s="301"/>
      <c r="AB8" s="301"/>
      <c r="AC8" s="301"/>
      <c r="AD8" s="301"/>
      <c r="AE8" s="301"/>
      <c r="AF8" s="301"/>
      <c r="AG8" s="301"/>
      <c r="AH8" s="301"/>
      <c r="AI8" s="306"/>
    </row>
    <row r="9" spans="1:35" s="169" customFormat="1" ht="24.95" customHeight="1" x14ac:dyDescent="0.3">
      <c r="A9" s="213" t="str">
        <f t="shared" ref="A9:A41" si="0">VLOOKUP($C9, juris, 3, FALSE)</f>
        <v>Aliso Viejo</v>
      </c>
      <c r="B9" s="260">
        <v>1720002</v>
      </c>
      <c r="C9" s="106" t="s">
        <v>101</v>
      </c>
      <c r="D9" s="106" t="str">
        <f t="shared" ref="D9:D41" si="1">VLOOKUP(C9, RW, 2, FALSE)</f>
        <v>Aliso Creek</v>
      </c>
      <c r="E9" s="307">
        <f t="shared" ref="E9:E31" si="2">VLOOKUP(D9, BU, 2, FALSE)</f>
        <v>6</v>
      </c>
      <c r="F9" s="107">
        <f t="shared" ref="F9:F18" si="3">VLOOKUP($B9,WaterQuality, 2, FALSE)</f>
        <v>44342.31527777778</v>
      </c>
      <c r="G9" s="111">
        <f>VLOOKUP($C9, Flow_R1, 8, FALSE)</f>
        <v>2.5999999999999999E-2</v>
      </c>
      <c r="H9" s="109">
        <f t="shared" ref="H9:H31" si="4">VLOOKUP($B9, WaterQuality, 117, FALSE)</f>
        <v>3281</v>
      </c>
      <c r="I9" s="111">
        <f t="shared" ref="I9:I31" si="5">VLOOKUP($B9, WaterQuality, 115, FALSE)</f>
        <v>7.34</v>
      </c>
      <c r="J9" s="108">
        <f t="shared" ref="J9:J31" si="6">VLOOKUP($B9,WaterQuality, 110, FALSE)</f>
        <v>5.7</v>
      </c>
      <c r="K9" s="110">
        <f t="shared" ref="K9:K31" si="7">VLOOKUP($B9,WaterQuality, 116, FALSE)</f>
        <v>7.9</v>
      </c>
      <c r="L9" s="109">
        <f t="shared" ref="L9:L31" si="8">VLOOKUP($B9,WaterQuality, 113, FALSE)</f>
        <v>6100</v>
      </c>
      <c r="M9" s="109" t="str">
        <f t="shared" ref="M9:M31" si="9">VLOOKUP($B9, WaterQuality, 114, FALSE)</f>
        <v>&gt;=84000</v>
      </c>
      <c r="N9" s="109">
        <f t="shared" ref="N9:N31" si="10">VLOOKUP($B9,WaterQuality, 99, FALSE)</f>
        <v>12</v>
      </c>
      <c r="O9" s="109">
        <f t="shared" ref="O9:O31" si="11">VLOOKUP($B9,WaterQuality, 100, FALSE)</f>
        <v>21</v>
      </c>
      <c r="P9" s="215">
        <f t="shared" ref="P9:P21" si="12">N9+O9</f>
        <v>33</v>
      </c>
      <c r="Q9" s="111">
        <f>VLOOKUP($B9, WaterQuality, 103, FALSE)*31/95</f>
        <v>1.24</v>
      </c>
      <c r="R9" s="106">
        <f t="shared" ref="R9:R31" si="13">VLOOKUP($B9,WaterQuality, 89, FALSE)</f>
        <v>0.11</v>
      </c>
      <c r="S9" s="110">
        <f>VLOOKUP($B9,WaterQuality, 85, FALSE)/1000</f>
        <v>0.24</v>
      </c>
      <c r="T9" s="110">
        <f t="shared" ref="T9:T31" si="14">VLOOKUP($B9,WaterQuality, 88, FALSE)/1000</f>
        <v>1.0999999999999999E-2</v>
      </c>
      <c r="U9" s="109">
        <f t="shared" ref="U9:U31" si="15">VLOOKUP($B9,WaterQuality, 84, FALSE)</f>
        <v>528</v>
      </c>
      <c r="V9" s="106">
        <f t="shared" ref="V9:V31" si="16">VLOOKUP($B9,WaterQuality, 78, FALSE)</f>
        <v>1.9</v>
      </c>
      <c r="W9" s="109">
        <f t="shared" ref="W9:W31" si="17">VLOOKUP($B9,WaterQuality, 91, FALSE)</f>
        <v>17</v>
      </c>
      <c r="X9" s="106">
        <f t="shared" ref="X9:X31" si="18">VLOOKUP($B9,WaterQuality, 81, FALSE)</f>
        <v>0.56999999999999995</v>
      </c>
      <c r="Y9" s="106" t="str">
        <f t="shared" ref="Y9:Y31" si="19">VLOOKUP($B9,WaterQuality, 80, FALSE)</f>
        <v>&lt;0.02</v>
      </c>
      <c r="Z9" s="106" t="s">
        <v>103</v>
      </c>
      <c r="AA9" s="106">
        <f t="shared" ref="AA9:AA31" si="20">VLOOKUP($B9,WaterQuality, 82, FALSE)</f>
        <v>9.1999999999999993</v>
      </c>
      <c r="AB9" s="110" t="str">
        <f t="shared" ref="AB9:AB31" si="21">VLOOKUP($B9,WaterQuality, 86, FALSE)</f>
        <v>&lt;0.2</v>
      </c>
      <c r="AC9" s="106" t="str">
        <f t="shared" ref="AC9:AC31" si="22">VLOOKUP($B9,WaterQuality, 93, FALSE)</f>
        <v>&lt;0.2</v>
      </c>
      <c r="AD9" s="109">
        <f t="shared" ref="AD9:AD31" si="23">VLOOKUP($B9,WaterQuality, 96, FALSE)</f>
        <v>43</v>
      </c>
      <c r="AE9" s="108">
        <v>1720006</v>
      </c>
      <c r="AF9" s="106">
        <f t="shared" ref="AF9:AF31" si="24">VLOOKUP($AE9,WaterQuality, 82, FALSE)</f>
        <v>9.8000000000000007</v>
      </c>
      <c r="AG9" s="106" t="str">
        <f t="shared" ref="AG9:AG31" si="25">VLOOKUP($AE9,WaterQuality, 86, FALSE)</f>
        <v>&lt;0.2</v>
      </c>
      <c r="AH9" s="106" t="str">
        <f t="shared" ref="AH9:AH31" si="26">VLOOKUP($AE9,WaterQuality, 93, FALSE)</f>
        <v>&lt;0.2</v>
      </c>
      <c r="AI9" s="308">
        <f t="shared" ref="AI9:AI31" si="27">VLOOKUP($AE9,WaterQuality, 96, FALSE)</f>
        <v>41</v>
      </c>
    </row>
    <row r="10" spans="1:35" ht="24.95" customHeight="1" x14ac:dyDescent="0.3">
      <c r="A10" s="213" t="str">
        <f t="shared" si="0"/>
        <v>Aliso Viejo</v>
      </c>
      <c r="B10" s="260">
        <v>1719002</v>
      </c>
      <c r="C10" s="106" t="s">
        <v>104</v>
      </c>
      <c r="D10" s="106" t="str">
        <f t="shared" si="1"/>
        <v>Dairy Fork</v>
      </c>
      <c r="E10" s="307">
        <f t="shared" si="2"/>
        <v>5</v>
      </c>
      <c r="F10" s="107">
        <f t="shared" si="3"/>
        <v>44342.327777777777</v>
      </c>
      <c r="G10" s="111">
        <f t="shared" ref="G10:G41" si="28">VLOOKUP($C10, Flow_R1, 7, FALSE)</f>
        <v>9.0000000000000011E-2</v>
      </c>
      <c r="H10" s="109">
        <f t="shared" si="4"/>
        <v>2289</v>
      </c>
      <c r="I10" s="111">
        <f t="shared" si="5"/>
        <v>9.59</v>
      </c>
      <c r="J10" s="108">
        <f t="shared" si="6"/>
        <v>1.3</v>
      </c>
      <c r="K10" s="110">
        <f t="shared" si="7"/>
        <v>7.92</v>
      </c>
      <c r="L10" s="109">
        <f t="shared" si="8"/>
        <v>1340</v>
      </c>
      <c r="M10" s="109" t="str">
        <f t="shared" si="9"/>
        <v>&gt;=6100</v>
      </c>
      <c r="N10" s="108">
        <f t="shared" si="10"/>
        <v>2.8</v>
      </c>
      <c r="O10" s="108">
        <f t="shared" si="11"/>
        <v>1.2</v>
      </c>
      <c r="P10" s="214">
        <f t="shared" si="12"/>
        <v>4</v>
      </c>
      <c r="Q10" s="111">
        <f>VLOOKUP($B10, WaterQuality, 103, FALSE)*31/95</f>
        <v>0.31</v>
      </c>
      <c r="R10" s="106">
        <f t="shared" si="13"/>
        <v>7.0000000000000007E-2</v>
      </c>
      <c r="S10" s="110">
        <f>VLOOKUP($B10,WaterQuality, 85, FALSE)/1000</f>
        <v>0.13</v>
      </c>
      <c r="T10" s="110">
        <f t="shared" si="14"/>
        <v>1.9E-2</v>
      </c>
      <c r="U10" s="109">
        <f t="shared" si="15"/>
        <v>576</v>
      </c>
      <c r="V10" s="106" t="str">
        <f t="shared" si="16"/>
        <v>&lt;0.2</v>
      </c>
      <c r="W10" s="108">
        <f t="shared" si="17"/>
        <v>3.5</v>
      </c>
      <c r="X10" s="106">
        <f t="shared" si="18"/>
        <v>0.6</v>
      </c>
      <c r="Y10" s="106">
        <f t="shared" si="19"/>
        <v>0.25</v>
      </c>
      <c r="Z10" s="106">
        <f t="shared" ref="Z10:Z17" si="29">X10-Y10</f>
        <v>0.35</v>
      </c>
      <c r="AA10" s="106">
        <f t="shared" si="20"/>
        <v>4.0999999999999996</v>
      </c>
      <c r="AB10" s="110" t="str">
        <f t="shared" si="21"/>
        <v>&lt;0.2</v>
      </c>
      <c r="AC10" s="106" t="str">
        <f t="shared" si="22"/>
        <v>&lt;0.2</v>
      </c>
      <c r="AD10" s="109">
        <f t="shared" si="23"/>
        <v>11</v>
      </c>
      <c r="AE10" s="108">
        <v>1719005</v>
      </c>
      <c r="AF10" s="106">
        <f t="shared" si="24"/>
        <v>3.2</v>
      </c>
      <c r="AG10" s="106" t="str">
        <f t="shared" si="25"/>
        <v>&lt;0.2</v>
      </c>
      <c r="AH10" s="106" t="str">
        <f t="shared" si="26"/>
        <v>&lt;0.2</v>
      </c>
      <c r="AI10" s="308" t="str">
        <f t="shared" si="27"/>
        <v>&lt;10</v>
      </c>
    </row>
    <row r="11" spans="1:35" ht="24.95" customHeight="1" x14ac:dyDescent="0.3">
      <c r="A11" s="213" t="str">
        <f t="shared" si="0"/>
        <v>Aliso Viejo</v>
      </c>
      <c r="B11" s="260">
        <v>1720001</v>
      </c>
      <c r="C11" s="106" t="s">
        <v>105</v>
      </c>
      <c r="D11" s="106" t="str">
        <f t="shared" si="1"/>
        <v>Aliso Creek</v>
      </c>
      <c r="E11" s="307">
        <f t="shared" si="2"/>
        <v>6</v>
      </c>
      <c r="F11" s="107">
        <f t="shared" si="3"/>
        <v>44342.338194444441</v>
      </c>
      <c r="G11" s="111">
        <f>VLOOKUP($C11, Flow_R1, 8, FALSE)</f>
        <v>0.03</v>
      </c>
      <c r="H11" s="109">
        <f t="shared" si="4"/>
        <v>4082</v>
      </c>
      <c r="I11" s="111">
        <f t="shared" si="5"/>
        <v>6.99</v>
      </c>
      <c r="J11" s="108">
        <f t="shared" si="6"/>
        <v>7.9</v>
      </c>
      <c r="K11" s="110">
        <f t="shared" si="7"/>
        <v>7.54</v>
      </c>
      <c r="L11" s="109">
        <f t="shared" si="8"/>
        <v>20000</v>
      </c>
      <c r="M11" s="109" t="str">
        <f t="shared" si="9"/>
        <v>&gt;=78000</v>
      </c>
      <c r="N11" s="109">
        <f t="shared" si="10"/>
        <v>12</v>
      </c>
      <c r="O11" s="108">
        <f t="shared" si="11"/>
        <v>6</v>
      </c>
      <c r="P11" s="235">
        <f t="shared" si="12"/>
        <v>18</v>
      </c>
      <c r="Q11" s="111">
        <f>VLOOKUP($B11, WaterQuality, 103, FALSE)*31/95</f>
        <v>0.52210526315789474</v>
      </c>
      <c r="R11" s="106">
        <f t="shared" si="13"/>
        <v>7.3999999999999996E-2</v>
      </c>
      <c r="S11" s="110">
        <f>VLOOKUP($B11,WaterQuality, 85, FALSE)/1000</f>
        <v>0.18</v>
      </c>
      <c r="T11" s="110">
        <f t="shared" si="14"/>
        <v>0.02</v>
      </c>
      <c r="U11" s="109">
        <f t="shared" si="15"/>
        <v>844</v>
      </c>
      <c r="V11" s="106">
        <f t="shared" si="16"/>
        <v>2.6</v>
      </c>
      <c r="W11" s="109">
        <f t="shared" si="17"/>
        <v>11</v>
      </c>
      <c r="X11" s="106">
        <f t="shared" si="18"/>
        <v>1.3</v>
      </c>
      <c r="Y11" s="106">
        <f t="shared" si="19"/>
        <v>0.73</v>
      </c>
      <c r="Z11" s="106">
        <f t="shared" si="29"/>
        <v>0.57000000000000006</v>
      </c>
      <c r="AA11" s="106">
        <f t="shared" si="20"/>
        <v>6.4</v>
      </c>
      <c r="AB11" s="110" t="str">
        <f t="shared" si="21"/>
        <v>&lt;0.2</v>
      </c>
      <c r="AC11" s="106" t="str">
        <f t="shared" si="22"/>
        <v>&lt;0.2</v>
      </c>
      <c r="AD11" s="109">
        <f t="shared" si="23"/>
        <v>37</v>
      </c>
      <c r="AE11" s="108">
        <v>1720005</v>
      </c>
      <c r="AF11" s="106">
        <f t="shared" si="24"/>
        <v>3.5</v>
      </c>
      <c r="AG11" s="106" t="str">
        <f t="shared" si="25"/>
        <v>&lt;0.2</v>
      </c>
      <c r="AH11" s="106" t="str">
        <f t="shared" si="26"/>
        <v>&lt;0.2</v>
      </c>
      <c r="AI11" s="308">
        <f t="shared" si="27"/>
        <v>26</v>
      </c>
    </row>
    <row r="12" spans="1:35" ht="24.95" customHeight="1" x14ac:dyDescent="0.3">
      <c r="A12" s="213" t="str">
        <f t="shared" si="0"/>
        <v>Aliso Viejo</v>
      </c>
      <c r="B12" s="260">
        <v>1719003</v>
      </c>
      <c r="C12" s="106" t="s">
        <v>106</v>
      </c>
      <c r="D12" s="106" t="str">
        <f t="shared" si="1"/>
        <v>Dairy Fork</v>
      </c>
      <c r="E12" s="307">
        <f t="shared" si="2"/>
        <v>5</v>
      </c>
      <c r="F12" s="107">
        <f t="shared" si="3"/>
        <v>44342.365277777775</v>
      </c>
      <c r="G12" s="111">
        <f t="shared" si="28"/>
        <v>0.55000000000000004</v>
      </c>
      <c r="H12" s="109">
        <f t="shared" si="4"/>
        <v>3175</v>
      </c>
      <c r="I12" s="111">
        <f t="shared" si="5"/>
        <v>8.74</v>
      </c>
      <c r="J12" s="110">
        <f t="shared" si="6"/>
        <v>0.19</v>
      </c>
      <c r="K12" s="110">
        <f t="shared" si="7"/>
        <v>7.94</v>
      </c>
      <c r="L12" s="109">
        <f t="shared" si="8"/>
        <v>20</v>
      </c>
      <c r="M12" s="109" t="str">
        <f t="shared" si="9"/>
        <v>&gt;=620</v>
      </c>
      <c r="N12" s="108">
        <f t="shared" si="10"/>
        <v>1.7</v>
      </c>
      <c r="O12" s="110">
        <f t="shared" si="11"/>
        <v>0.48</v>
      </c>
      <c r="P12" s="216">
        <f t="shared" si="12"/>
        <v>2.1799999999999997</v>
      </c>
      <c r="Q12" s="124" t="s">
        <v>230</v>
      </c>
      <c r="R12" s="106" t="str">
        <f t="shared" si="13"/>
        <v>&lt;0.05</v>
      </c>
      <c r="S12" s="110">
        <f>VLOOKUP($B12,WaterQuality, 85, FALSE)/1000</f>
        <v>2.3E-2</v>
      </c>
      <c r="T12" s="110">
        <f t="shared" si="14"/>
        <v>0.32</v>
      </c>
      <c r="U12" s="109">
        <f t="shared" si="15"/>
        <v>1050</v>
      </c>
      <c r="V12" s="106">
        <f t="shared" si="16"/>
        <v>0.39</v>
      </c>
      <c r="W12" s="108">
        <f t="shared" si="17"/>
        <v>3.9</v>
      </c>
      <c r="X12" s="106">
        <f t="shared" si="18"/>
        <v>0.37</v>
      </c>
      <c r="Y12" s="106">
        <f t="shared" si="19"/>
        <v>0.27</v>
      </c>
      <c r="Z12" s="106">
        <f t="shared" si="29"/>
        <v>9.9999999999999978E-2</v>
      </c>
      <c r="AA12" s="106">
        <f t="shared" si="20"/>
        <v>3.9</v>
      </c>
      <c r="AB12" s="110" t="str">
        <f t="shared" si="21"/>
        <v>&lt;0.2</v>
      </c>
      <c r="AC12" s="106" t="str">
        <f t="shared" si="22"/>
        <v>&lt;0.2</v>
      </c>
      <c r="AD12" s="109" t="str">
        <f t="shared" si="23"/>
        <v>&lt;10</v>
      </c>
      <c r="AE12" s="109">
        <v>1719006</v>
      </c>
      <c r="AF12" s="106">
        <f t="shared" si="24"/>
        <v>2.6</v>
      </c>
      <c r="AG12" s="106" t="str">
        <f t="shared" si="25"/>
        <v>&lt;0.2</v>
      </c>
      <c r="AH12" s="106" t="str">
        <f t="shared" si="26"/>
        <v>&lt;0.2</v>
      </c>
      <c r="AI12" s="308" t="str">
        <f t="shared" si="27"/>
        <v>&lt;10</v>
      </c>
    </row>
    <row r="13" spans="1:35" ht="24.95" customHeight="1" x14ac:dyDescent="0.3">
      <c r="A13" s="213" t="str">
        <f t="shared" si="0"/>
        <v>Aliso Viejo</v>
      </c>
      <c r="B13" s="260">
        <v>1719001</v>
      </c>
      <c r="C13" s="106" t="s">
        <v>107</v>
      </c>
      <c r="D13" s="106" t="str">
        <f t="shared" si="1"/>
        <v>Dairy Fork</v>
      </c>
      <c r="E13" s="307">
        <f t="shared" si="2"/>
        <v>5</v>
      </c>
      <c r="F13" s="107">
        <f t="shared" si="3"/>
        <v>44342.386111111111</v>
      </c>
      <c r="G13" s="111">
        <f>VLOOKUP($C13, Flow_R1, 8, FALSE)</f>
        <v>2.02</v>
      </c>
      <c r="H13" s="109">
        <f t="shared" si="4"/>
        <v>2724</v>
      </c>
      <c r="I13" s="111">
        <f t="shared" si="5"/>
        <v>6.76</v>
      </c>
      <c r="J13" s="108">
        <f t="shared" si="6"/>
        <v>1.4</v>
      </c>
      <c r="K13" s="110">
        <f t="shared" si="7"/>
        <v>7.75</v>
      </c>
      <c r="L13" s="109">
        <f t="shared" si="8"/>
        <v>310</v>
      </c>
      <c r="M13" s="109" t="str">
        <f t="shared" si="9"/>
        <v>&gt;=10400</v>
      </c>
      <c r="N13" s="108">
        <f t="shared" si="10"/>
        <v>2.1</v>
      </c>
      <c r="O13" s="110">
        <f t="shared" si="11"/>
        <v>0.64</v>
      </c>
      <c r="P13" s="216">
        <f t="shared" si="12"/>
        <v>2.74</v>
      </c>
      <c r="Q13" s="111">
        <f t="shared" ref="Q13:Q31" si="30">VLOOKUP($B13, WaterQuality, 103, FALSE)*31/95</f>
        <v>0.15336842105263157</v>
      </c>
      <c r="R13" s="106" t="str">
        <f t="shared" si="13"/>
        <v>&lt;0.05</v>
      </c>
      <c r="S13" s="110">
        <f>VLOOKUP($B13,WaterQuality, 85, FALSE)/1000</f>
        <v>8.7999999999999995E-2</v>
      </c>
      <c r="T13" s="110">
        <f t="shared" si="14"/>
        <v>0.13</v>
      </c>
      <c r="U13" s="109">
        <f t="shared" si="15"/>
        <v>851</v>
      </c>
      <c r="V13" s="106">
        <f t="shared" si="16"/>
        <v>0.28000000000000003</v>
      </c>
      <c r="W13" s="108">
        <f t="shared" si="17"/>
        <v>3.7</v>
      </c>
      <c r="X13" s="106">
        <f t="shared" si="18"/>
        <v>0.45</v>
      </c>
      <c r="Y13" s="106">
        <f t="shared" si="19"/>
        <v>0.24</v>
      </c>
      <c r="Z13" s="106">
        <f t="shared" si="29"/>
        <v>0.21000000000000002</v>
      </c>
      <c r="AA13" s="112">
        <f t="shared" si="20"/>
        <v>3</v>
      </c>
      <c r="AB13" s="110" t="str">
        <f t="shared" si="21"/>
        <v>&lt;0.2</v>
      </c>
      <c r="AC13" s="106" t="str">
        <f t="shared" si="22"/>
        <v>&lt;0.2</v>
      </c>
      <c r="AD13" s="109" t="str">
        <f t="shared" si="23"/>
        <v>&lt;10</v>
      </c>
      <c r="AE13" s="109">
        <v>1719004</v>
      </c>
      <c r="AF13" s="106">
        <f t="shared" si="24"/>
        <v>2.2000000000000002</v>
      </c>
      <c r="AG13" s="106" t="str">
        <f t="shared" si="25"/>
        <v>&lt;0.2</v>
      </c>
      <c r="AH13" s="106" t="str">
        <f t="shared" si="26"/>
        <v>&lt;0.2</v>
      </c>
      <c r="AI13" s="308" t="str">
        <f t="shared" si="27"/>
        <v>&lt;10</v>
      </c>
    </row>
    <row r="14" spans="1:35" ht="24.95" customHeight="1" x14ac:dyDescent="0.3">
      <c r="A14" s="213" t="str">
        <f t="shared" si="0"/>
        <v>Aliso Viejo</v>
      </c>
      <c r="B14" s="260">
        <v>1720004</v>
      </c>
      <c r="C14" s="106" t="s">
        <v>108</v>
      </c>
      <c r="D14" s="106" t="str">
        <f t="shared" si="1"/>
        <v>Aliso Creek</v>
      </c>
      <c r="E14" s="307">
        <f t="shared" si="2"/>
        <v>6</v>
      </c>
      <c r="F14" s="107">
        <f t="shared" si="3"/>
        <v>44342.420138888891</v>
      </c>
      <c r="G14" s="111">
        <f>VLOOKUP($C14, Flow_R1, 8, FALSE)</f>
        <v>5.8000000000000003E-2</v>
      </c>
      <c r="H14" s="109">
        <f t="shared" si="4"/>
        <v>1764</v>
      </c>
      <c r="I14" s="111">
        <f t="shared" si="5"/>
        <v>4.5599999999999996</v>
      </c>
      <c r="J14" s="110">
        <f t="shared" si="6"/>
        <v>0.3</v>
      </c>
      <c r="K14" s="110">
        <f t="shared" si="7"/>
        <v>7.73</v>
      </c>
      <c r="L14" s="109">
        <f t="shared" si="8"/>
        <v>80</v>
      </c>
      <c r="M14" s="109" t="str">
        <f t="shared" si="9"/>
        <v>&gt;=950</v>
      </c>
      <c r="N14" s="108">
        <f t="shared" si="10"/>
        <v>1.9</v>
      </c>
      <c r="O14" s="110">
        <f t="shared" si="11"/>
        <v>0.64</v>
      </c>
      <c r="P14" s="216">
        <f t="shared" si="12"/>
        <v>2.54</v>
      </c>
      <c r="Q14" s="111">
        <f t="shared" si="30"/>
        <v>0.3132631578947368</v>
      </c>
      <c r="R14" s="106" t="str">
        <f t="shared" si="13"/>
        <v>&lt;0.05</v>
      </c>
      <c r="S14" s="121" t="s">
        <v>230</v>
      </c>
      <c r="T14" s="110">
        <f t="shared" si="14"/>
        <v>1.4E-2</v>
      </c>
      <c r="U14" s="109">
        <f t="shared" si="15"/>
        <v>383</v>
      </c>
      <c r="V14" s="106" t="str">
        <f t="shared" si="16"/>
        <v>&lt;0.2</v>
      </c>
      <c r="W14" s="108">
        <f t="shared" si="17"/>
        <v>2</v>
      </c>
      <c r="X14" s="106">
        <f t="shared" si="18"/>
        <v>0.66</v>
      </c>
      <c r="Y14" s="106">
        <f t="shared" si="19"/>
        <v>0.52</v>
      </c>
      <c r="Z14" s="106">
        <f t="shared" si="29"/>
        <v>0.14000000000000001</v>
      </c>
      <c r="AA14" s="106">
        <f t="shared" si="20"/>
        <v>2.2000000000000002</v>
      </c>
      <c r="AB14" s="110" t="str">
        <f t="shared" si="21"/>
        <v>&lt;0.2</v>
      </c>
      <c r="AC14" s="106" t="str">
        <f t="shared" si="22"/>
        <v>&lt;0.2</v>
      </c>
      <c r="AD14" s="109" t="str">
        <f t="shared" si="23"/>
        <v>&lt;10</v>
      </c>
      <c r="AE14" s="108">
        <v>1720008</v>
      </c>
      <c r="AF14" s="106">
        <f t="shared" si="24"/>
        <v>1.8</v>
      </c>
      <c r="AG14" s="106" t="str">
        <f t="shared" si="25"/>
        <v>&lt;0.2</v>
      </c>
      <c r="AH14" s="106" t="str">
        <f t="shared" si="26"/>
        <v>&lt;0.2</v>
      </c>
      <c r="AI14" s="308" t="str">
        <f t="shared" si="27"/>
        <v>&lt;10</v>
      </c>
    </row>
    <row r="15" spans="1:35" ht="24.95" customHeight="1" x14ac:dyDescent="0.3">
      <c r="A15" s="213" t="str">
        <f t="shared" si="0"/>
        <v>County of Orange</v>
      </c>
      <c r="B15" s="260">
        <v>1724001</v>
      </c>
      <c r="C15" s="106" t="s">
        <v>109</v>
      </c>
      <c r="D15" s="106" t="str">
        <f t="shared" si="1"/>
        <v>Canada Gobernadora</v>
      </c>
      <c r="E15" s="307">
        <f t="shared" si="2"/>
        <v>7</v>
      </c>
      <c r="F15" s="107">
        <f t="shared" si="3"/>
        <v>44342.350694444445</v>
      </c>
      <c r="G15" s="111">
        <f t="shared" si="28"/>
        <v>0.15714285714285714</v>
      </c>
      <c r="H15" s="109">
        <f t="shared" si="4"/>
        <v>1766.4</v>
      </c>
      <c r="I15" s="111">
        <f t="shared" si="5"/>
        <v>8.68</v>
      </c>
      <c r="J15" s="108">
        <f t="shared" si="6"/>
        <v>1.2</v>
      </c>
      <c r="K15" s="110">
        <f t="shared" si="7"/>
        <v>7.76</v>
      </c>
      <c r="L15" s="109" t="str">
        <f t="shared" si="8"/>
        <v>&gt;=1300</v>
      </c>
      <c r="M15" s="109" t="str">
        <f t="shared" si="9"/>
        <v>&gt;=9000</v>
      </c>
      <c r="N15" s="108">
        <f t="shared" si="10"/>
        <v>0.96</v>
      </c>
      <c r="O15" s="108">
        <f t="shared" si="11"/>
        <v>1</v>
      </c>
      <c r="P15" s="216">
        <f t="shared" si="12"/>
        <v>1.96</v>
      </c>
      <c r="Q15" s="111">
        <f t="shared" si="30"/>
        <v>0.29694736842105263</v>
      </c>
      <c r="R15" s="106" t="str">
        <f t="shared" si="13"/>
        <v>&lt;0.05</v>
      </c>
      <c r="S15" s="110">
        <f t="shared" ref="S15:S23" si="31">VLOOKUP($B15,WaterQuality, 85, FALSE)/1000</f>
        <v>0.05</v>
      </c>
      <c r="T15" s="110">
        <f t="shared" si="14"/>
        <v>2.1999999999999999E-2</v>
      </c>
      <c r="U15" s="109">
        <f t="shared" si="15"/>
        <v>496</v>
      </c>
      <c r="V15" s="106" t="str">
        <f t="shared" si="16"/>
        <v>&lt;0.2</v>
      </c>
      <c r="W15" s="108" t="str">
        <f t="shared" si="17"/>
        <v>&lt;2</v>
      </c>
      <c r="X15" s="106">
        <f t="shared" si="18"/>
        <v>0.32</v>
      </c>
      <c r="Y15" s="106">
        <f t="shared" si="19"/>
        <v>0.18</v>
      </c>
      <c r="Z15" s="106">
        <f t="shared" si="29"/>
        <v>0.14000000000000001</v>
      </c>
      <c r="AA15" s="112">
        <f t="shared" si="20"/>
        <v>6</v>
      </c>
      <c r="AB15" s="110" t="str">
        <f t="shared" si="21"/>
        <v>&lt;0.2</v>
      </c>
      <c r="AC15" s="106" t="str">
        <f t="shared" si="22"/>
        <v>&lt;0.2</v>
      </c>
      <c r="AD15" s="109" t="str">
        <f t="shared" si="23"/>
        <v>&lt;10</v>
      </c>
      <c r="AE15" s="109">
        <v>1724006</v>
      </c>
      <c r="AF15" s="106">
        <f t="shared" si="24"/>
        <v>4.9000000000000004</v>
      </c>
      <c r="AG15" s="106" t="str">
        <f t="shared" si="25"/>
        <v>&lt;0.2</v>
      </c>
      <c r="AH15" s="106" t="str">
        <f t="shared" si="26"/>
        <v>&lt;0.2</v>
      </c>
      <c r="AI15" s="308" t="str">
        <f t="shared" si="27"/>
        <v>&lt;10</v>
      </c>
    </row>
    <row r="16" spans="1:35" ht="24.95" customHeight="1" x14ac:dyDescent="0.3">
      <c r="A16" s="213" t="str">
        <f t="shared" si="0"/>
        <v>County of Orange</v>
      </c>
      <c r="B16" s="260">
        <v>1720003</v>
      </c>
      <c r="C16" s="106" t="s">
        <v>110</v>
      </c>
      <c r="D16" s="106" t="str">
        <f t="shared" si="1"/>
        <v>Aliso Creek</v>
      </c>
      <c r="E16" s="307">
        <f t="shared" si="2"/>
        <v>6</v>
      </c>
      <c r="F16" s="107">
        <f t="shared" si="3"/>
        <v>44342.37777777778</v>
      </c>
      <c r="G16" s="111">
        <f t="shared" si="28"/>
        <v>4.1999999999999996E-2</v>
      </c>
      <c r="H16" s="109">
        <f t="shared" si="4"/>
        <v>2538</v>
      </c>
      <c r="I16" s="111">
        <f t="shared" si="5"/>
        <v>8.8699999999999992</v>
      </c>
      <c r="J16" s="108">
        <f t="shared" si="6"/>
        <v>1.5</v>
      </c>
      <c r="K16" s="110">
        <f t="shared" si="7"/>
        <v>8.25</v>
      </c>
      <c r="L16" s="109">
        <f t="shared" si="8"/>
        <v>600</v>
      </c>
      <c r="M16" s="109" t="str">
        <f t="shared" si="9"/>
        <v>&gt;=32000</v>
      </c>
      <c r="N16" s="108">
        <f t="shared" si="10"/>
        <v>3.8</v>
      </c>
      <c r="O16" s="108">
        <f t="shared" si="11"/>
        <v>2.5</v>
      </c>
      <c r="P16" s="214">
        <f t="shared" si="12"/>
        <v>6.3</v>
      </c>
      <c r="Q16" s="111">
        <f t="shared" si="30"/>
        <v>0.45684210526315788</v>
      </c>
      <c r="R16" s="106">
        <f t="shared" si="13"/>
        <v>7.0999999999999994E-2</v>
      </c>
      <c r="S16" s="110">
        <f t="shared" si="31"/>
        <v>0.05</v>
      </c>
      <c r="T16" s="110">
        <f t="shared" si="14"/>
        <v>5.4999999999999997E-3</v>
      </c>
      <c r="U16" s="109">
        <f t="shared" si="15"/>
        <v>418</v>
      </c>
      <c r="V16" s="106">
        <f t="shared" si="16"/>
        <v>0.21</v>
      </c>
      <c r="W16" s="108">
        <f t="shared" si="17"/>
        <v>2.9</v>
      </c>
      <c r="X16" s="106">
        <f t="shared" si="18"/>
        <v>1.1000000000000001</v>
      </c>
      <c r="Y16" s="106">
        <f t="shared" si="19"/>
        <v>1.1000000000000001</v>
      </c>
      <c r="Z16" s="106">
        <f t="shared" si="29"/>
        <v>0</v>
      </c>
      <c r="AA16" s="106">
        <f t="shared" si="20"/>
        <v>6.7</v>
      </c>
      <c r="AB16" s="110" t="str">
        <f t="shared" si="21"/>
        <v>&lt;0.2</v>
      </c>
      <c r="AC16" s="106" t="str">
        <f t="shared" si="22"/>
        <v>&lt;0.2</v>
      </c>
      <c r="AD16" s="109">
        <f t="shared" si="23"/>
        <v>20</v>
      </c>
      <c r="AE16" s="109">
        <v>1720007</v>
      </c>
      <c r="AF16" s="106">
        <f t="shared" si="24"/>
        <v>6.1</v>
      </c>
      <c r="AG16" s="106" t="str">
        <f t="shared" si="25"/>
        <v>&lt;0.2</v>
      </c>
      <c r="AH16" s="106" t="str">
        <f t="shared" si="26"/>
        <v>&lt;0.2</v>
      </c>
      <c r="AI16" s="308">
        <f t="shared" si="27"/>
        <v>18</v>
      </c>
    </row>
    <row r="17" spans="1:35" ht="24.95" customHeight="1" x14ac:dyDescent="0.3">
      <c r="A17" s="213" t="str">
        <f t="shared" si="0"/>
        <v>County of Orange</v>
      </c>
      <c r="B17" s="260">
        <v>1724002</v>
      </c>
      <c r="C17" s="106" t="s">
        <v>111</v>
      </c>
      <c r="D17" s="106" t="str">
        <f t="shared" si="1"/>
        <v>Canada Gobernadora</v>
      </c>
      <c r="E17" s="307">
        <f t="shared" si="2"/>
        <v>7</v>
      </c>
      <c r="F17" s="107">
        <f t="shared" si="3"/>
        <v>44342.384027777778</v>
      </c>
      <c r="G17" s="111">
        <f t="shared" si="28"/>
        <v>0.15086206896551724</v>
      </c>
      <c r="H17" s="109">
        <f t="shared" si="4"/>
        <v>1457.5</v>
      </c>
      <c r="I17" s="111">
        <f t="shared" si="5"/>
        <v>8.36</v>
      </c>
      <c r="J17" s="108">
        <f t="shared" si="6"/>
        <v>1</v>
      </c>
      <c r="K17" s="110">
        <f t="shared" si="7"/>
        <v>7.98</v>
      </c>
      <c r="L17" s="109" t="str">
        <f t="shared" si="8"/>
        <v>&gt;=910</v>
      </c>
      <c r="M17" s="109" t="str">
        <f t="shared" si="9"/>
        <v>&gt;=31000</v>
      </c>
      <c r="N17" s="108">
        <f t="shared" si="10"/>
        <v>1.3</v>
      </c>
      <c r="O17" s="108">
        <f t="shared" si="11"/>
        <v>2.2999999999999998</v>
      </c>
      <c r="P17" s="216">
        <f t="shared" si="12"/>
        <v>3.5999999999999996</v>
      </c>
      <c r="Q17" s="111">
        <f t="shared" si="30"/>
        <v>0.35894736842105263</v>
      </c>
      <c r="R17" s="106" t="str">
        <f t="shared" si="13"/>
        <v>&lt;0.05</v>
      </c>
      <c r="S17" s="110">
        <f t="shared" si="31"/>
        <v>4.2000000000000003E-2</v>
      </c>
      <c r="T17" s="110">
        <f t="shared" si="14"/>
        <v>9.1999999999999998E-3</v>
      </c>
      <c r="U17" s="109">
        <f t="shared" si="15"/>
        <v>428</v>
      </c>
      <c r="V17" s="106" t="str">
        <f t="shared" si="16"/>
        <v>&lt;0.2</v>
      </c>
      <c r="W17" s="108" t="str">
        <f t="shared" si="17"/>
        <v>&lt;2</v>
      </c>
      <c r="X17" s="106">
        <f t="shared" si="18"/>
        <v>0.28000000000000003</v>
      </c>
      <c r="Y17" s="106">
        <f t="shared" si="19"/>
        <v>0.12</v>
      </c>
      <c r="Z17" s="111">
        <f t="shared" si="29"/>
        <v>0.16000000000000003</v>
      </c>
      <c r="AA17" s="106">
        <f t="shared" si="20"/>
        <v>5.0999999999999996</v>
      </c>
      <c r="AB17" s="110" t="str">
        <f t="shared" si="21"/>
        <v>&lt;0.2</v>
      </c>
      <c r="AC17" s="106" t="str">
        <f t="shared" si="22"/>
        <v>&lt;0.2</v>
      </c>
      <c r="AD17" s="109" t="str">
        <f t="shared" si="23"/>
        <v>&lt;10</v>
      </c>
      <c r="AE17" s="109">
        <v>1724007</v>
      </c>
      <c r="AF17" s="106">
        <f t="shared" si="24"/>
        <v>4.3</v>
      </c>
      <c r="AG17" s="106" t="str">
        <f t="shared" si="25"/>
        <v>&lt;0.2</v>
      </c>
      <c r="AH17" s="106" t="str">
        <f t="shared" si="26"/>
        <v>&lt;0.2</v>
      </c>
      <c r="AI17" s="308" t="str">
        <f t="shared" si="27"/>
        <v>&lt;10</v>
      </c>
    </row>
    <row r="18" spans="1:35" ht="24.95" customHeight="1" x14ac:dyDescent="0.3">
      <c r="A18" s="213" t="str">
        <f t="shared" si="0"/>
        <v>County of Orange</v>
      </c>
      <c r="B18" s="260">
        <v>1724003</v>
      </c>
      <c r="C18" s="106" t="s">
        <v>112</v>
      </c>
      <c r="D18" s="106" t="str">
        <f t="shared" si="1"/>
        <v>Horno Creek</v>
      </c>
      <c r="E18" s="307">
        <f t="shared" si="2"/>
        <v>7</v>
      </c>
      <c r="F18" s="107">
        <f t="shared" si="3"/>
        <v>44342.432638888888</v>
      </c>
      <c r="G18" s="111">
        <f t="shared" si="28"/>
        <v>0.80463157894736848</v>
      </c>
      <c r="H18" s="109">
        <f t="shared" si="4"/>
        <v>2781.4</v>
      </c>
      <c r="I18" s="111">
        <f t="shared" si="5"/>
        <v>6.75</v>
      </c>
      <c r="J18" s="108">
        <f t="shared" si="6"/>
        <v>2.4</v>
      </c>
      <c r="K18" s="110">
        <f t="shared" si="7"/>
        <v>7.62</v>
      </c>
      <c r="L18" s="109">
        <f t="shared" si="8"/>
        <v>30</v>
      </c>
      <c r="M18" s="109" t="str">
        <f t="shared" si="9"/>
        <v>&gt;=5000</v>
      </c>
      <c r="N18" s="110">
        <f t="shared" si="10"/>
        <v>0.74</v>
      </c>
      <c r="O18" s="108">
        <f t="shared" si="11"/>
        <v>3.9</v>
      </c>
      <c r="P18" s="216">
        <f t="shared" si="12"/>
        <v>4.6399999999999997</v>
      </c>
      <c r="Q18" s="111">
        <f t="shared" si="30"/>
        <v>0.39157894736842103</v>
      </c>
      <c r="R18" s="106">
        <f t="shared" si="13"/>
        <v>9.1999999999999998E-2</v>
      </c>
      <c r="S18" s="110">
        <f t="shared" si="31"/>
        <v>0.11</v>
      </c>
      <c r="T18" s="110">
        <f t="shared" si="14"/>
        <v>0.1</v>
      </c>
      <c r="U18" s="109">
        <f t="shared" si="15"/>
        <v>889</v>
      </c>
      <c r="V18" s="106">
        <f t="shared" si="16"/>
        <v>0.4</v>
      </c>
      <c r="W18" s="109">
        <f t="shared" si="17"/>
        <v>11</v>
      </c>
      <c r="X18" s="106">
        <f t="shared" si="18"/>
        <v>0.55000000000000004</v>
      </c>
      <c r="Y18" s="106">
        <f t="shared" si="19"/>
        <v>6.6000000000000003E-2</v>
      </c>
      <c r="Z18" s="111">
        <f>X18-0.02</f>
        <v>0.53</v>
      </c>
      <c r="AA18" s="106">
        <f t="shared" si="20"/>
        <v>2.7</v>
      </c>
      <c r="AB18" s="110" t="str">
        <f t="shared" si="21"/>
        <v>&lt;0.2</v>
      </c>
      <c r="AC18" s="106" t="str">
        <f t="shared" si="22"/>
        <v>&lt;0.2</v>
      </c>
      <c r="AD18" s="109" t="str">
        <f t="shared" si="23"/>
        <v>&lt;10</v>
      </c>
      <c r="AE18" s="108">
        <v>1724008</v>
      </c>
      <c r="AF18" s="106">
        <f t="shared" si="24"/>
        <v>1.6</v>
      </c>
      <c r="AG18" s="106" t="str">
        <f t="shared" si="25"/>
        <v>&lt;0.2</v>
      </c>
      <c r="AH18" s="106" t="str">
        <f t="shared" si="26"/>
        <v>&lt;0.2</v>
      </c>
      <c r="AI18" s="308" t="str">
        <f t="shared" si="27"/>
        <v>&lt;10</v>
      </c>
    </row>
    <row r="19" spans="1:35" ht="24.95" customHeight="1" x14ac:dyDescent="0.3">
      <c r="A19" s="213" t="str">
        <f t="shared" si="0"/>
        <v>County of Orange</v>
      </c>
      <c r="B19" s="260">
        <v>1724004</v>
      </c>
      <c r="C19" s="106" t="s">
        <v>113</v>
      </c>
      <c r="D19" s="106" t="str">
        <f t="shared" si="1"/>
        <v>Horno Creek</v>
      </c>
      <c r="E19" s="307">
        <f t="shared" si="2"/>
        <v>7</v>
      </c>
      <c r="F19" s="107">
        <f>VLOOKUP($B19,WaterQuality, 2, FALSE)</f>
        <v>44342.46875</v>
      </c>
      <c r="G19" s="111">
        <f t="shared" si="28"/>
        <v>0.15881548974943055</v>
      </c>
      <c r="H19" s="109">
        <f t="shared" si="4"/>
        <v>3127.5</v>
      </c>
      <c r="I19" s="111">
        <f t="shared" si="5"/>
        <v>8.7899999999999991</v>
      </c>
      <c r="J19" s="108">
        <f t="shared" si="6"/>
        <v>1.3</v>
      </c>
      <c r="K19" s="110">
        <f t="shared" si="7"/>
        <v>8.01</v>
      </c>
      <c r="L19" s="109">
        <f t="shared" si="8"/>
        <v>790</v>
      </c>
      <c r="M19" s="109" t="str">
        <f t="shared" si="9"/>
        <v>&gt;=9700</v>
      </c>
      <c r="N19" s="108">
        <f t="shared" si="10"/>
        <v>6.7</v>
      </c>
      <c r="O19" s="108">
        <f t="shared" si="11"/>
        <v>1.4</v>
      </c>
      <c r="P19" s="216">
        <f t="shared" si="12"/>
        <v>8.1</v>
      </c>
      <c r="Q19" s="111">
        <f t="shared" si="30"/>
        <v>0.55473684210526308</v>
      </c>
      <c r="R19" s="106">
        <f t="shared" si="13"/>
        <v>6.6000000000000003E-2</v>
      </c>
      <c r="S19" s="110">
        <f t="shared" si="31"/>
        <v>6.0999999999999999E-2</v>
      </c>
      <c r="T19" s="110">
        <f t="shared" si="14"/>
        <v>0.14000000000000001</v>
      </c>
      <c r="U19" s="109">
        <f t="shared" si="15"/>
        <v>1210</v>
      </c>
      <c r="V19" s="217">
        <f t="shared" si="16"/>
        <v>7.2</v>
      </c>
      <c r="W19" s="109">
        <f t="shared" si="17"/>
        <v>56</v>
      </c>
      <c r="X19" s="106">
        <f t="shared" si="18"/>
        <v>0.37</v>
      </c>
      <c r="Y19" s="106" t="str">
        <f t="shared" si="19"/>
        <v>&lt;0.02</v>
      </c>
      <c r="Z19" s="106">
        <f>X19-0.02</f>
        <v>0.35</v>
      </c>
      <c r="AA19" s="106">
        <f t="shared" si="20"/>
        <v>5.2</v>
      </c>
      <c r="AB19" s="110" t="str">
        <f t="shared" si="21"/>
        <v>&lt;0.2</v>
      </c>
      <c r="AC19" s="106" t="str">
        <f t="shared" si="22"/>
        <v>&lt;0.2</v>
      </c>
      <c r="AD19" s="109">
        <f t="shared" si="23"/>
        <v>25</v>
      </c>
      <c r="AE19" s="108">
        <v>1724009</v>
      </c>
      <c r="AF19" s="106">
        <f t="shared" si="24"/>
        <v>4.9000000000000004</v>
      </c>
      <c r="AG19" s="106" t="str">
        <f t="shared" si="25"/>
        <v>&lt;0.2</v>
      </c>
      <c r="AH19" s="106" t="str">
        <f t="shared" si="26"/>
        <v>&lt;0.2</v>
      </c>
      <c r="AI19" s="308">
        <f t="shared" si="27"/>
        <v>21</v>
      </c>
    </row>
    <row r="20" spans="1:35" ht="24.95" customHeight="1" x14ac:dyDescent="0.3">
      <c r="A20" s="213" t="str">
        <f t="shared" si="0"/>
        <v>County of Orange</v>
      </c>
      <c r="B20" s="260">
        <v>1724005</v>
      </c>
      <c r="C20" s="106" t="s">
        <v>115</v>
      </c>
      <c r="D20" s="106" t="str">
        <f t="shared" si="1"/>
        <v xml:space="preserve">Arroyo Trabuco </v>
      </c>
      <c r="E20" s="307">
        <f t="shared" si="2"/>
        <v>7</v>
      </c>
      <c r="F20" s="107">
        <f>VLOOKUP($B20,WaterQuality, 2, FALSE)</f>
        <v>44342.524305555555</v>
      </c>
      <c r="G20" s="111">
        <f t="shared" si="28"/>
        <v>0.27642352941176473</v>
      </c>
      <c r="H20" s="109">
        <f t="shared" si="4"/>
        <v>3153.5</v>
      </c>
      <c r="I20" s="111">
        <f t="shared" si="5"/>
        <v>7.11</v>
      </c>
      <c r="J20" s="110">
        <f t="shared" si="6"/>
        <v>0.67</v>
      </c>
      <c r="K20" s="110">
        <f t="shared" si="7"/>
        <v>7.15</v>
      </c>
      <c r="L20" s="109">
        <f t="shared" si="8"/>
        <v>340</v>
      </c>
      <c r="M20" s="109" t="str">
        <f t="shared" si="9"/>
        <v>&gt;=5300</v>
      </c>
      <c r="N20" s="108">
        <f t="shared" si="10"/>
        <v>5.9</v>
      </c>
      <c r="O20" s="108">
        <f t="shared" si="11"/>
        <v>2.9</v>
      </c>
      <c r="P20" s="216">
        <f>N20+O20</f>
        <v>8.8000000000000007</v>
      </c>
      <c r="Q20" s="236">
        <f t="shared" si="30"/>
        <v>0.35894736842105263</v>
      </c>
      <c r="R20" s="106" t="str">
        <f t="shared" si="13"/>
        <v>&lt;0.05</v>
      </c>
      <c r="S20" s="110">
        <f t="shared" si="31"/>
        <v>3.2000000000000001E-2</v>
      </c>
      <c r="T20" s="110">
        <f t="shared" si="14"/>
        <v>4.5999999999999999E-2</v>
      </c>
      <c r="U20" s="109">
        <f t="shared" si="15"/>
        <v>964</v>
      </c>
      <c r="V20" s="106">
        <f t="shared" si="16"/>
        <v>0.97</v>
      </c>
      <c r="W20" s="108">
        <f t="shared" si="17"/>
        <v>5.3</v>
      </c>
      <c r="X20" s="106">
        <f t="shared" si="18"/>
        <v>0.26</v>
      </c>
      <c r="Y20" s="106">
        <f t="shared" si="19"/>
        <v>5.3999999999999999E-2</v>
      </c>
      <c r="Z20" s="111">
        <f>X20-Y20</f>
        <v>0.20600000000000002</v>
      </c>
      <c r="AA20" s="106">
        <f t="shared" si="20"/>
        <v>4.3</v>
      </c>
      <c r="AB20" s="110" t="str">
        <f t="shared" si="21"/>
        <v>&lt;0.2</v>
      </c>
      <c r="AC20" s="106" t="str">
        <f t="shared" si="22"/>
        <v>&lt;0.2</v>
      </c>
      <c r="AD20" s="109">
        <f t="shared" si="23"/>
        <v>15</v>
      </c>
      <c r="AE20" s="109">
        <v>1724010</v>
      </c>
      <c r="AF20" s="106">
        <f t="shared" si="24"/>
        <v>3.6</v>
      </c>
      <c r="AG20" s="106" t="str">
        <f t="shared" si="25"/>
        <v>&lt;0.2</v>
      </c>
      <c r="AH20" s="106" t="str">
        <f t="shared" si="26"/>
        <v>&lt;0.2</v>
      </c>
      <c r="AI20" s="308">
        <f t="shared" si="27"/>
        <v>14</v>
      </c>
    </row>
    <row r="21" spans="1:35" ht="24.95" customHeight="1" x14ac:dyDescent="0.3">
      <c r="A21" s="213" t="str">
        <f t="shared" si="0"/>
        <v>Dana Point</v>
      </c>
      <c r="B21" s="260">
        <v>1743002</v>
      </c>
      <c r="C21" s="106" t="s">
        <v>116</v>
      </c>
      <c r="D21" s="106" t="str">
        <f t="shared" si="1"/>
        <v xml:space="preserve">San Juan Creek </v>
      </c>
      <c r="E21" s="307">
        <f t="shared" si="2"/>
        <v>7</v>
      </c>
      <c r="F21" s="107">
        <f>VLOOKUP($B21,WaterQuality, 2, FALSE)</f>
        <v>44349.43472222222</v>
      </c>
      <c r="G21" s="111">
        <f t="shared" si="28"/>
        <v>5.4000000000000003E-3</v>
      </c>
      <c r="H21" s="109">
        <f t="shared" si="4"/>
        <v>1265</v>
      </c>
      <c r="I21" s="111">
        <f t="shared" si="5"/>
        <v>10.63</v>
      </c>
      <c r="J21" s="110">
        <f t="shared" si="6"/>
        <v>0.82</v>
      </c>
      <c r="K21" s="110">
        <f t="shared" si="7"/>
        <v>8.5299999999999994</v>
      </c>
      <c r="L21" s="109">
        <f t="shared" si="8"/>
        <v>230</v>
      </c>
      <c r="M21" s="109" t="str">
        <f t="shared" si="9"/>
        <v>&gt;=4000</v>
      </c>
      <c r="N21" s="110">
        <f t="shared" si="10"/>
        <v>0.72</v>
      </c>
      <c r="O21" s="110">
        <f t="shared" si="11"/>
        <v>0.61</v>
      </c>
      <c r="P21" s="216">
        <f t="shared" si="12"/>
        <v>1.33</v>
      </c>
      <c r="Q21" s="111">
        <f t="shared" si="30"/>
        <v>0.35894736842105263</v>
      </c>
      <c r="R21" s="106" t="str">
        <f t="shared" si="13"/>
        <v>&lt;0.05</v>
      </c>
      <c r="S21" s="110">
        <f t="shared" si="31"/>
        <v>5.3999999999999999E-2</v>
      </c>
      <c r="T21" s="110">
        <f t="shared" si="14"/>
        <v>1.9E-3</v>
      </c>
      <c r="U21" s="109">
        <f t="shared" si="15"/>
        <v>339</v>
      </c>
      <c r="V21" s="106">
        <f t="shared" si="16"/>
        <v>0.27</v>
      </c>
      <c r="W21" s="108">
        <f t="shared" si="17"/>
        <v>4.2</v>
      </c>
      <c r="X21" s="106">
        <f t="shared" si="18"/>
        <v>0.42</v>
      </c>
      <c r="Y21" s="106">
        <f t="shared" si="19"/>
        <v>0.17</v>
      </c>
      <c r="Z21" s="106">
        <f>X21-Y21</f>
        <v>0.24999999999999997</v>
      </c>
      <c r="AA21" s="106">
        <f t="shared" si="20"/>
        <v>7.8</v>
      </c>
      <c r="AB21" s="110" t="str">
        <f t="shared" si="21"/>
        <v>&lt;0.2</v>
      </c>
      <c r="AC21" s="106" t="str">
        <f t="shared" si="22"/>
        <v>&lt;0.2</v>
      </c>
      <c r="AD21" s="109">
        <f t="shared" si="23"/>
        <v>12</v>
      </c>
      <c r="AE21" s="109">
        <v>1743004</v>
      </c>
      <c r="AF21" s="106">
        <f t="shared" si="24"/>
        <v>6.6</v>
      </c>
      <c r="AG21" s="106" t="str">
        <f t="shared" si="25"/>
        <v>&lt;0.2</v>
      </c>
      <c r="AH21" s="106" t="str">
        <f t="shared" si="26"/>
        <v>&lt;0.2</v>
      </c>
      <c r="AI21" s="308" t="str">
        <f t="shared" si="27"/>
        <v>&lt;10</v>
      </c>
    </row>
    <row r="22" spans="1:35" ht="24.95" customHeight="1" x14ac:dyDescent="0.3">
      <c r="A22" s="213" t="str">
        <f t="shared" si="0"/>
        <v>Dana Point</v>
      </c>
      <c r="B22" s="260"/>
      <c r="C22" s="106" t="s">
        <v>117</v>
      </c>
      <c r="D22" s="106" t="str">
        <f t="shared" si="1"/>
        <v xml:space="preserve">San Juan Creek </v>
      </c>
      <c r="E22" s="307" t="s">
        <v>231</v>
      </c>
      <c r="F22" s="107">
        <v>44349.444444444445</v>
      </c>
      <c r="G22" s="111">
        <v>0</v>
      </c>
      <c r="H22" s="272"/>
      <c r="I22" s="274"/>
      <c r="J22" s="272"/>
      <c r="K22" s="271"/>
      <c r="L22" s="272"/>
      <c r="M22" s="272"/>
      <c r="N22" s="272"/>
      <c r="O22" s="271"/>
      <c r="P22" s="279"/>
      <c r="Q22" s="274"/>
      <c r="R22" s="275"/>
      <c r="S22" s="271"/>
      <c r="T22" s="273"/>
      <c r="U22" s="272"/>
      <c r="V22" s="275"/>
      <c r="W22" s="271"/>
      <c r="X22" s="275"/>
      <c r="Y22" s="275"/>
      <c r="Z22" s="275"/>
      <c r="AA22" s="275"/>
      <c r="AB22" s="273"/>
      <c r="AC22" s="275"/>
      <c r="AD22" s="272"/>
      <c r="AE22" s="272"/>
      <c r="AF22" s="275"/>
      <c r="AG22" s="275"/>
      <c r="AH22" s="275"/>
      <c r="AI22" s="310"/>
    </row>
    <row r="23" spans="1:35" ht="24.95" customHeight="1" x14ac:dyDescent="0.3">
      <c r="A23" s="213" t="str">
        <f t="shared" si="0"/>
        <v>Laguna Beach</v>
      </c>
      <c r="B23" s="260">
        <v>1726002</v>
      </c>
      <c r="C23" s="106" t="s">
        <v>119</v>
      </c>
      <c r="D23" s="106" t="str">
        <f t="shared" si="1"/>
        <v xml:space="preserve">Blue Bird Canyon </v>
      </c>
      <c r="E23" s="307">
        <f t="shared" si="2"/>
        <v>6</v>
      </c>
      <c r="F23" s="107">
        <v>44350.444444444445</v>
      </c>
      <c r="G23" s="111">
        <f t="shared" si="28"/>
        <v>8.0000000000000002E-3</v>
      </c>
      <c r="H23" s="109">
        <f t="shared" si="4"/>
        <v>10556</v>
      </c>
      <c r="I23" s="111">
        <f t="shared" si="5"/>
        <v>8.3800000000000008</v>
      </c>
      <c r="J23" s="108">
        <f t="shared" si="6"/>
        <v>1.4</v>
      </c>
      <c r="K23" s="110">
        <f t="shared" si="7"/>
        <v>7.81</v>
      </c>
      <c r="L23" s="109">
        <f t="shared" si="8"/>
        <v>550</v>
      </c>
      <c r="M23" s="109" t="str">
        <f t="shared" si="9"/>
        <v>&gt;=1900</v>
      </c>
      <c r="N23" s="108" t="str">
        <f t="shared" si="10"/>
        <v>&lt;0.1</v>
      </c>
      <c r="O23" s="110">
        <f t="shared" si="11"/>
        <v>0.44</v>
      </c>
      <c r="P23" s="124">
        <v>0.5</v>
      </c>
      <c r="Q23" s="111">
        <f t="shared" si="30"/>
        <v>0.16315789473684211</v>
      </c>
      <c r="R23" s="106" t="str">
        <f t="shared" si="13"/>
        <v>&lt;0.05</v>
      </c>
      <c r="S23" s="110">
        <f t="shared" si="31"/>
        <v>0.28000000000000003</v>
      </c>
      <c r="T23" s="110">
        <f t="shared" si="14"/>
        <v>0.13</v>
      </c>
      <c r="U23" s="109">
        <f t="shared" si="15"/>
        <v>3760</v>
      </c>
      <c r="V23" s="106" t="str">
        <f t="shared" si="16"/>
        <v>&lt;0.2</v>
      </c>
      <c r="W23" s="108">
        <f t="shared" si="17"/>
        <v>4</v>
      </c>
      <c r="X23" s="106">
        <f t="shared" si="18"/>
        <v>0.4</v>
      </c>
      <c r="Y23" s="106" t="str">
        <f t="shared" si="19"/>
        <v>&lt;0.02</v>
      </c>
      <c r="Z23" s="106" t="s">
        <v>122</v>
      </c>
      <c r="AA23" s="106">
        <f t="shared" si="20"/>
        <v>1.7</v>
      </c>
      <c r="AB23" s="110" t="str">
        <f t="shared" si="21"/>
        <v>&lt;0.2</v>
      </c>
      <c r="AC23" s="106" t="str">
        <f t="shared" si="22"/>
        <v>&lt;0.2</v>
      </c>
      <c r="AD23" s="109" t="str">
        <f t="shared" si="23"/>
        <v>&lt;10</v>
      </c>
      <c r="AE23" s="109">
        <v>1726004</v>
      </c>
      <c r="AF23" s="106">
        <f t="shared" si="24"/>
        <v>1.8</v>
      </c>
      <c r="AG23" s="106" t="str">
        <f t="shared" si="25"/>
        <v>&lt;0.2</v>
      </c>
      <c r="AH23" s="106" t="str">
        <f t="shared" si="26"/>
        <v>&lt;0.2</v>
      </c>
      <c r="AI23" s="308" t="str">
        <f t="shared" si="27"/>
        <v>&lt;10</v>
      </c>
    </row>
    <row r="24" spans="1:35" ht="24.95" customHeight="1" x14ac:dyDescent="0.3">
      <c r="A24" s="213" t="str">
        <f t="shared" si="0"/>
        <v>Laguna Beach</v>
      </c>
      <c r="B24" s="260">
        <v>1726001</v>
      </c>
      <c r="C24" s="106" t="s">
        <v>123</v>
      </c>
      <c r="D24" s="106" t="str">
        <f t="shared" si="1"/>
        <v>Laguna Canyon Coastal Streams</v>
      </c>
      <c r="E24" s="307">
        <f t="shared" si="2"/>
        <v>6</v>
      </c>
      <c r="F24" s="107">
        <v>44351.444444444445</v>
      </c>
      <c r="G24" s="111">
        <f t="shared" si="28"/>
        <v>9.9415204678362568E-4</v>
      </c>
      <c r="H24" s="109">
        <f t="shared" si="4"/>
        <v>8117.5</v>
      </c>
      <c r="I24" s="111">
        <f t="shared" si="5"/>
        <v>7.86</v>
      </c>
      <c r="J24" s="110">
        <f t="shared" si="6"/>
        <v>0.66</v>
      </c>
      <c r="K24" s="110">
        <f t="shared" si="7"/>
        <v>8.0299999999999994</v>
      </c>
      <c r="L24" s="109">
        <f t="shared" si="8"/>
        <v>20</v>
      </c>
      <c r="M24" s="109" t="str">
        <f t="shared" si="9"/>
        <v>&gt;=2800</v>
      </c>
      <c r="N24" s="110">
        <f t="shared" si="10"/>
        <v>0.35</v>
      </c>
      <c r="O24" s="110">
        <f t="shared" si="11"/>
        <v>0.66</v>
      </c>
      <c r="P24" s="216">
        <f>N24+O24</f>
        <v>1.01</v>
      </c>
      <c r="Q24" s="111">
        <f t="shared" si="30"/>
        <v>0.22842105263157894</v>
      </c>
      <c r="R24" s="106" t="str">
        <f t="shared" si="13"/>
        <v>&lt;0.05</v>
      </c>
      <c r="S24" s="121" t="s">
        <v>230</v>
      </c>
      <c r="T24" s="110">
        <f t="shared" si="14"/>
        <v>0.03</v>
      </c>
      <c r="U24" s="109">
        <f t="shared" si="15"/>
        <v>2480</v>
      </c>
      <c r="V24" s="106" t="str">
        <f t="shared" si="16"/>
        <v>&lt;0.2</v>
      </c>
      <c r="W24" s="108" t="str">
        <f t="shared" si="17"/>
        <v>&lt;2</v>
      </c>
      <c r="X24" s="106" t="str">
        <f t="shared" si="18"/>
        <v>&lt;0.2</v>
      </c>
      <c r="Y24" s="106" t="str">
        <f t="shared" si="19"/>
        <v>&lt;0.02</v>
      </c>
      <c r="Z24" s="106" t="str">
        <f>X24</f>
        <v>&lt;0.2</v>
      </c>
      <c r="AA24" s="112">
        <f t="shared" si="20"/>
        <v>2</v>
      </c>
      <c r="AB24" s="110" t="str">
        <f t="shared" si="21"/>
        <v>&lt;0.2</v>
      </c>
      <c r="AC24" s="106" t="str">
        <f t="shared" si="22"/>
        <v>&lt;0.2</v>
      </c>
      <c r="AD24" s="109" t="str">
        <f t="shared" si="23"/>
        <v>&lt;10</v>
      </c>
      <c r="AE24" s="109">
        <v>1726003</v>
      </c>
      <c r="AF24" s="106">
        <f t="shared" si="24"/>
        <v>2.2999999999999998</v>
      </c>
      <c r="AG24" s="106" t="str">
        <f t="shared" si="25"/>
        <v>&lt;0.2</v>
      </c>
      <c r="AH24" s="106" t="str">
        <f t="shared" si="26"/>
        <v>&lt;0.2</v>
      </c>
      <c r="AI24" s="308" t="str">
        <f t="shared" si="27"/>
        <v>&lt;10</v>
      </c>
    </row>
    <row r="25" spans="1:35" ht="24.95" customHeight="1" x14ac:dyDescent="0.3">
      <c r="A25" s="213" t="str">
        <f t="shared" si="0"/>
        <v>Laguna Niguel</v>
      </c>
      <c r="B25" s="260">
        <v>1721001</v>
      </c>
      <c r="C25" s="106" t="s">
        <v>124</v>
      </c>
      <c r="D25" s="106" t="str">
        <f t="shared" si="1"/>
        <v>Oso Creek</v>
      </c>
      <c r="E25" s="307">
        <f t="shared" si="2"/>
        <v>7</v>
      </c>
      <c r="F25" s="107">
        <f t="shared" ref="F25:F31" si="32">VLOOKUP($B25,WaterQuality, 2, FALSE)</f>
        <v>44343.326388888891</v>
      </c>
      <c r="G25" s="111">
        <f t="shared" si="28"/>
        <v>0.12959999999999999</v>
      </c>
      <c r="H25" s="109">
        <f t="shared" si="4"/>
        <v>4177</v>
      </c>
      <c r="I25" s="111">
        <f t="shared" si="5"/>
        <v>7.82</v>
      </c>
      <c r="J25" s="108">
        <f t="shared" si="6"/>
        <v>4.9000000000000004</v>
      </c>
      <c r="K25" s="110">
        <f t="shared" si="7"/>
        <v>8.06</v>
      </c>
      <c r="L25" s="109">
        <f t="shared" si="8"/>
        <v>290</v>
      </c>
      <c r="M25" s="218" t="str">
        <f t="shared" si="9"/>
        <v>&gt;=22000</v>
      </c>
      <c r="N25" s="108">
        <f t="shared" si="10"/>
        <v>3.5</v>
      </c>
      <c r="O25" s="110" t="str">
        <f t="shared" si="11"/>
        <v>&lt;0.4</v>
      </c>
      <c r="P25" s="214">
        <f>3.4+0.4</f>
        <v>3.8</v>
      </c>
      <c r="Q25" s="111">
        <f t="shared" si="30"/>
        <v>0.28389473684210526</v>
      </c>
      <c r="R25" s="106">
        <f t="shared" si="13"/>
        <v>9.8000000000000004E-2</v>
      </c>
      <c r="S25" s="110">
        <f t="shared" ref="S25:S31" si="33">VLOOKUP($B25,WaterQuality, 85, FALSE)/1000</f>
        <v>7.6999999999999999E-2</v>
      </c>
      <c r="T25" s="110">
        <f t="shared" si="14"/>
        <v>4.8000000000000001E-2</v>
      </c>
      <c r="U25" s="109">
        <f t="shared" si="15"/>
        <v>1110</v>
      </c>
      <c r="V25" s="106">
        <f t="shared" si="16"/>
        <v>0.69</v>
      </c>
      <c r="W25" s="108">
        <f t="shared" si="17"/>
        <v>6.1</v>
      </c>
      <c r="X25" s="106">
        <f t="shared" si="18"/>
        <v>0.69</v>
      </c>
      <c r="Y25" s="106">
        <f t="shared" si="19"/>
        <v>0.2</v>
      </c>
      <c r="Z25" s="111">
        <f>X25-Y25</f>
        <v>0.48999999999999994</v>
      </c>
      <c r="AA25" s="106">
        <f t="shared" si="20"/>
        <v>5.0999999999999996</v>
      </c>
      <c r="AB25" s="110">
        <f t="shared" si="21"/>
        <v>0.52</v>
      </c>
      <c r="AC25" s="106" t="str">
        <f t="shared" si="22"/>
        <v>&lt;0.2</v>
      </c>
      <c r="AD25" s="109">
        <f t="shared" si="23"/>
        <v>17</v>
      </c>
      <c r="AE25" s="109">
        <v>1721007</v>
      </c>
      <c r="AF25" s="106">
        <f t="shared" si="24"/>
        <v>4.7</v>
      </c>
      <c r="AG25" s="106" t="str">
        <f t="shared" si="25"/>
        <v>&lt;0.2</v>
      </c>
      <c r="AH25" s="106" t="str">
        <f t="shared" si="26"/>
        <v>&lt;0.2</v>
      </c>
      <c r="AI25" s="308">
        <f t="shared" si="27"/>
        <v>12</v>
      </c>
    </row>
    <row r="26" spans="1:35" ht="24.95" customHeight="1" x14ac:dyDescent="0.3">
      <c r="A26" s="213" t="str">
        <f t="shared" si="0"/>
        <v>Laguna Niguel</v>
      </c>
      <c r="B26" s="260">
        <v>1721002</v>
      </c>
      <c r="C26" s="106" t="s">
        <v>125</v>
      </c>
      <c r="D26" s="106" t="str">
        <f t="shared" si="1"/>
        <v>Salt Creek</v>
      </c>
      <c r="E26" s="307" t="s">
        <v>232</v>
      </c>
      <c r="F26" s="107">
        <f t="shared" si="32"/>
        <v>44343.372916666667</v>
      </c>
      <c r="G26" s="124">
        <f>VLOOKUP($C26, Flow_R1, 8, FALSE)</f>
        <v>0.30199999999999999</v>
      </c>
      <c r="H26" s="109">
        <f t="shared" si="4"/>
        <v>7391</v>
      </c>
      <c r="I26" s="111">
        <f t="shared" si="5"/>
        <v>8.01</v>
      </c>
      <c r="J26" s="110">
        <f t="shared" si="6"/>
        <v>0.63</v>
      </c>
      <c r="K26" s="110">
        <f t="shared" si="7"/>
        <v>7.73</v>
      </c>
      <c r="L26" s="109">
        <f t="shared" si="8"/>
        <v>30</v>
      </c>
      <c r="M26" s="109" t="str">
        <f t="shared" si="9"/>
        <v>&gt;=2500</v>
      </c>
      <c r="N26" s="108">
        <f t="shared" si="10"/>
        <v>2.1</v>
      </c>
      <c r="O26" s="108">
        <f t="shared" si="11"/>
        <v>1</v>
      </c>
      <c r="P26" s="216">
        <f t="shared" ref="P26:P31" si="34">N26+O26</f>
        <v>3.1</v>
      </c>
      <c r="Q26" s="111">
        <f t="shared" si="30"/>
        <v>0.32631578947368423</v>
      </c>
      <c r="R26" s="106" t="str">
        <f t="shared" si="13"/>
        <v>&lt;0.05</v>
      </c>
      <c r="S26" s="110">
        <f t="shared" si="33"/>
        <v>6.7000000000000004E-2</v>
      </c>
      <c r="T26" s="110">
        <f t="shared" si="14"/>
        <v>4.8000000000000001E-2</v>
      </c>
      <c r="U26" s="109">
        <f t="shared" si="15"/>
        <v>1280</v>
      </c>
      <c r="V26" s="106">
        <f t="shared" si="16"/>
        <v>0.31</v>
      </c>
      <c r="W26" s="108">
        <f t="shared" si="17"/>
        <v>6.9</v>
      </c>
      <c r="X26" s="106" t="str">
        <f t="shared" si="18"/>
        <v>&lt;0.2</v>
      </c>
      <c r="Y26" s="106" t="str">
        <f t="shared" si="19"/>
        <v>&lt;0.02</v>
      </c>
      <c r="Z26" s="106" t="str">
        <f>X26</f>
        <v>&lt;0.2</v>
      </c>
      <c r="AA26" s="106">
        <f t="shared" si="20"/>
        <v>2.5</v>
      </c>
      <c r="AB26" s="110" t="str">
        <f t="shared" si="21"/>
        <v>&lt;0.2</v>
      </c>
      <c r="AC26" s="106" t="str">
        <f t="shared" si="22"/>
        <v>&lt;0.2</v>
      </c>
      <c r="AD26" s="109" t="str">
        <f t="shared" si="23"/>
        <v>&lt;10</v>
      </c>
      <c r="AE26" s="108">
        <v>1721008</v>
      </c>
      <c r="AF26" s="106">
        <f t="shared" si="24"/>
        <v>2.7</v>
      </c>
      <c r="AG26" s="106" t="str">
        <f t="shared" si="25"/>
        <v>&lt;0.2</v>
      </c>
      <c r="AH26" s="106" t="str">
        <f t="shared" si="26"/>
        <v>&lt;0.2</v>
      </c>
      <c r="AI26" s="308" t="str">
        <f t="shared" si="27"/>
        <v>&lt;10</v>
      </c>
    </row>
    <row r="27" spans="1:35" ht="24.95" customHeight="1" x14ac:dyDescent="0.3">
      <c r="A27" s="213" t="str">
        <f t="shared" si="0"/>
        <v>Laguna Niguel</v>
      </c>
      <c r="B27" s="260">
        <v>1721003</v>
      </c>
      <c r="C27" s="106" t="s">
        <v>127</v>
      </c>
      <c r="D27" s="106" t="str">
        <f t="shared" si="1"/>
        <v>Salt Creek</v>
      </c>
      <c r="E27" s="307">
        <f t="shared" si="2"/>
        <v>6</v>
      </c>
      <c r="F27" s="107">
        <f t="shared" si="32"/>
        <v>44343.399305555555</v>
      </c>
      <c r="G27" s="111">
        <f t="shared" si="28"/>
        <v>0.12000000000000002</v>
      </c>
      <c r="H27" s="109">
        <f t="shared" si="4"/>
        <v>4177</v>
      </c>
      <c r="I27" s="111">
        <f t="shared" si="5"/>
        <v>7.82</v>
      </c>
      <c r="J27" s="110">
        <f t="shared" si="6"/>
        <v>0.59</v>
      </c>
      <c r="K27" s="110">
        <f t="shared" si="7"/>
        <v>8.06</v>
      </c>
      <c r="L27" s="109">
        <f t="shared" si="8"/>
        <v>6900</v>
      </c>
      <c r="M27" s="109" t="str">
        <f t="shared" si="9"/>
        <v>&gt;=11700</v>
      </c>
      <c r="N27" s="108">
        <f t="shared" si="10"/>
        <v>7.1</v>
      </c>
      <c r="O27" s="108">
        <f t="shared" si="11"/>
        <v>1.1000000000000001</v>
      </c>
      <c r="P27" s="216">
        <f t="shared" si="34"/>
        <v>8.1999999999999993</v>
      </c>
      <c r="Q27" s="111">
        <f t="shared" si="30"/>
        <v>0.39157894736842103</v>
      </c>
      <c r="R27" s="106" t="str">
        <f t="shared" si="13"/>
        <v>&lt;0.05</v>
      </c>
      <c r="S27" s="110">
        <f t="shared" si="33"/>
        <v>5.7000000000000002E-2</v>
      </c>
      <c r="T27" s="110">
        <f t="shared" si="14"/>
        <v>7.0999999999999994E-2</v>
      </c>
      <c r="U27" s="109">
        <f t="shared" si="15"/>
        <v>949</v>
      </c>
      <c r="V27" s="111">
        <f t="shared" si="16"/>
        <v>0.4</v>
      </c>
      <c r="W27" s="108">
        <f t="shared" si="17"/>
        <v>6.9</v>
      </c>
      <c r="X27" s="106">
        <f t="shared" si="18"/>
        <v>0.31</v>
      </c>
      <c r="Y27" s="106">
        <f t="shared" si="19"/>
        <v>8.5999999999999993E-2</v>
      </c>
      <c r="Z27" s="106">
        <f>X27-Y27</f>
        <v>0.224</v>
      </c>
      <c r="AA27" s="106">
        <f t="shared" si="20"/>
        <v>7.9</v>
      </c>
      <c r="AB27" s="110" t="str">
        <f t="shared" si="21"/>
        <v>&lt;0.2</v>
      </c>
      <c r="AC27" s="106" t="str">
        <f t="shared" si="22"/>
        <v>&lt;0.2</v>
      </c>
      <c r="AD27" s="109">
        <f t="shared" si="23"/>
        <v>10</v>
      </c>
      <c r="AE27" s="109">
        <v>1721009</v>
      </c>
      <c r="AF27" s="106">
        <f t="shared" si="24"/>
        <v>8.6</v>
      </c>
      <c r="AG27" s="106" t="str">
        <f t="shared" si="25"/>
        <v>&lt;0.2</v>
      </c>
      <c r="AH27" s="106" t="str">
        <f t="shared" si="26"/>
        <v>&lt;0.2</v>
      </c>
      <c r="AI27" s="308">
        <f t="shared" si="27"/>
        <v>11</v>
      </c>
    </row>
    <row r="28" spans="1:35" ht="24.95" customHeight="1" x14ac:dyDescent="0.3">
      <c r="A28" s="213" t="str">
        <f t="shared" si="0"/>
        <v>Laguna Niguel</v>
      </c>
      <c r="B28" s="260">
        <v>1721004</v>
      </c>
      <c r="C28" s="106" t="s">
        <v>128</v>
      </c>
      <c r="D28" s="106" t="str">
        <f t="shared" si="1"/>
        <v>Sulphur Creek</v>
      </c>
      <c r="E28" s="307">
        <f t="shared" si="2"/>
        <v>6</v>
      </c>
      <c r="F28" s="107">
        <f t="shared" si="32"/>
        <v>44343.4375</v>
      </c>
      <c r="G28" s="111">
        <f>VLOOKUP($C28, Flow_R1, 8, FALSE)</f>
        <v>7.9000000000000001E-2</v>
      </c>
      <c r="H28" s="109">
        <f t="shared" si="4"/>
        <v>6957</v>
      </c>
      <c r="I28" s="111">
        <f t="shared" si="5"/>
        <v>9</v>
      </c>
      <c r="J28" s="110">
        <f t="shared" si="6"/>
        <v>0.5</v>
      </c>
      <c r="K28" s="110">
        <f t="shared" si="7"/>
        <v>7.98</v>
      </c>
      <c r="L28" s="109">
        <f t="shared" si="8"/>
        <v>70</v>
      </c>
      <c r="M28" s="109" t="str">
        <f t="shared" si="9"/>
        <v>&gt;=520</v>
      </c>
      <c r="N28" s="108">
        <f t="shared" si="10"/>
        <v>1.3</v>
      </c>
      <c r="O28" s="110">
        <f t="shared" si="11"/>
        <v>0.6</v>
      </c>
      <c r="P28" s="216">
        <f t="shared" si="34"/>
        <v>1.9</v>
      </c>
      <c r="Q28" s="111">
        <f t="shared" si="30"/>
        <v>0.23494736842105263</v>
      </c>
      <c r="R28" s="106" t="str">
        <f t="shared" si="13"/>
        <v>&lt;0.05</v>
      </c>
      <c r="S28" s="110">
        <f t="shared" si="33"/>
        <v>5.1999999999999998E-2</v>
      </c>
      <c r="T28" s="110">
        <f t="shared" si="14"/>
        <v>0.56000000000000005</v>
      </c>
      <c r="U28" s="109">
        <f t="shared" si="15"/>
        <v>2230</v>
      </c>
      <c r="V28" s="106">
        <f t="shared" si="16"/>
        <v>8.5</v>
      </c>
      <c r="W28" s="109">
        <f t="shared" si="17"/>
        <v>50</v>
      </c>
      <c r="X28" s="106">
        <f t="shared" si="18"/>
        <v>0.39</v>
      </c>
      <c r="Y28" s="106" t="str">
        <f t="shared" si="19"/>
        <v>&lt;0.02</v>
      </c>
      <c r="Z28" s="106" t="s">
        <v>103</v>
      </c>
      <c r="AA28" s="106">
        <f t="shared" si="20"/>
        <v>1.7</v>
      </c>
      <c r="AB28" s="110" t="str">
        <f t="shared" si="21"/>
        <v>&lt;0.2</v>
      </c>
      <c r="AC28" s="106" t="str">
        <f t="shared" si="22"/>
        <v>&lt;0.2</v>
      </c>
      <c r="AD28" s="109">
        <f t="shared" si="23"/>
        <v>22</v>
      </c>
      <c r="AE28" s="109">
        <v>1721010</v>
      </c>
      <c r="AF28" s="106">
        <f t="shared" si="24"/>
        <v>2</v>
      </c>
      <c r="AG28" s="106" t="str">
        <f t="shared" si="25"/>
        <v>&lt;0.2</v>
      </c>
      <c r="AH28" s="106" t="str">
        <f t="shared" si="26"/>
        <v>&lt;0.2</v>
      </c>
      <c r="AI28" s="308">
        <f t="shared" si="27"/>
        <v>17</v>
      </c>
    </row>
    <row r="29" spans="1:35" ht="24.95" customHeight="1" x14ac:dyDescent="0.3">
      <c r="A29" s="213" t="str">
        <f t="shared" si="0"/>
        <v>Laguna Niguel</v>
      </c>
      <c r="B29" s="260">
        <v>1721005</v>
      </c>
      <c r="C29" s="106" t="s">
        <v>130</v>
      </c>
      <c r="D29" s="106" t="str">
        <f t="shared" si="1"/>
        <v>Aliso Creek</v>
      </c>
      <c r="E29" s="307">
        <f t="shared" si="2"/>
        <v>6</v>
      </c>
      <c r="F29" s="107">
        <f t="shared" si="32"/>
        <v>44343.46597222222</v>
      </c>
      <c r="G29" s="111">
        <f>VLOOKUP($C29, Flow_R1, 8, FALSE)</f>
        <v>8.0000000000000002E-3</v>
      </c>
      <c r="H29" s="109">
        <f t="shared" si="4"/>
        <v>5106</v>
      </c>
      <c r="I29" s="111">
        <f t="shared" si="5"/>
        <v>7.36</v>
      </c>
      <c r="J29" s="110">
        <f t="shared" si="6"/>
        <v>0.92</v>
      </c>
      <c r="K29" s="110">
        <f t="shared" si="7"/>
        <v>7.79</v>
      </c>
      <c r="L29" s="109">
        <f t="shared" si="8"/>
        <v>4000</v>
      </c>
      <c r="M29" s="109" t="str">
        <f t="shared" si="9"/>
        <v>&gt;=5300</v>
      </c>
      <c r="N29" s="108">
        <f t="shared" si="10"/>
        <v>1.4</v>
      </c>
      <c r="O29" s="110">
        <f t="shared" si="11"/>
        <v>0.48</v>
      </c>
      <c r="P29" s="216">
        <f t="shared" si="34"/>
        <v>1.88</v>
      </c>
      <c r="Q29" s="111">
        <f t="shared" si="30"/>
        <v>0.22515789473684208</v>
      </c>
      <c r="R29" s="106" t="str">
        <f t="shared" si="13"/>
        <v>&lt;0.05</v>
      </c>
      <c r="S29" s="110">
        <f t="shared" si="33"/>
        <v>0.27</v>
      </c>
      <c r="T29" s="110">
        <f t="shared" si="14"/>
        <v>0.21</v>
      </c>
      <c r="U29" s="109">
        <f t="shared" si="15"/>
        <v>1180</v>
      </c>
      <c r="V29" s="106">
        <f t="shared" si="16"/>
        <v>1.6</v>
      </c>
      <c r="W29" s="109">
        <f t="shared" si="17"/>
        <v>11</v>
      </c>
      <c r="X29" s="106">
        <f t="shared" si="18"/>
        <v>0.21</v>
      </c>
      <c r="Y29" s="106" t="str">
        <f t="shared" si="19"/>
        <v>&lt;0.02</v>
      </c>
      <c r="Z29" s="111">
        <f>X29</f>
        <v>0.21</v>
      </c>
      <c r="AA29" s="106">
        <f t="shared" si="20"/>
        <v>2.2999999999999998</v>
      </c>
      <c r="AB29" s="110" t="str">
        <f t="shared" si="21"/>
        <v>&lt;0.2</v>
      </c>
      <c r="AC29" s="106" t="str">
        <f t="shared" si="22"/>
        <v>&lt;0.2</v>
      </c>
      <c r="AD29" s="109" t="str">
        <f t="shared" si="23"/>
        <v>&lt;10</v>
      </c>
      <c r="AE29" s="109">
        <v>1721011</v>
      </c>
      <c r="AF29" s="106">
        <f t="shared" si="24"/>
        <v>2.1</v>
      </c>
      <c r="AG29" s="106" t="str">
        <f t="shared" si="25"/>
        <v>&lt;0.2</v>
      </c>
      <c r="AH29" s="106" t="str">
        <f t="shared" si="26"/>
        <v>&lt;0.2</v>
      </c>
      <c r="AI29" s="308" t="str">
        <f t="shared" si="27"/>
        <v>&lt;10</v>
      </c>
    </row>
    <row r="30" spans="1:35" ht="24.95" customHeight="1" x14ac:dyDescent="0.3">
      <c r="A30" s="213" t="str">
        <f t="shared" si="0"/>
        <v>Laguna Niguel</v>
      </c>
      <c r="B30" s="260">
        <v>1721006</v>
      </c>
      <c r="C30" s="106" t="s">
        <v>132</v>
      </c>
      <c r="D30" s="106" t="str">
        <f t="shared" si="1"/>
        <v>Aliso Creek</v>
      </c>
      <c r="E30" s="307">
        <f t="shared" si="2"/>
        <v>6</v>
      </c>
      <c r="F30" s="107">
        <f t="shared" si="32"/>
        <v>44343.488888888889</v>
      </c>
      <c r="G30" s="111">
        <f t="shared" si="28"/>
        <v>7.6999999999999999E-2</v>
      </c>
      <c r="H30" s="109">
        <f t="shared" si="4"/>
        <v>3652</v>
      </c>
      <c r="I30" s="111">
        <f t="shared" si="5"/>
        <v>6.02</v>
      </c>
      <c r="J30" s="110">
        <f t="shared" si="6"/>
        <v>0.44</v>
      </c>
      <c r="K30" s="110">
        <f t="shared" si="7"/>
        <v>7.57</v>
      </c>
      <c r="L30" s="109">
        <f t="shared" si="8"/>
        <v>20</v>
      </c>
      <c r="M30" s="109" t="str">
        <f t="shared" si="9"/>
        <v>&gt;=440</v>
      </c>
      <c r="N30" s="110">
        <f t="shared" si="10"/>
        <v>0.17</v>
      </c>
      <c r="O30" s="110">
        <f t="shared" si="11"/>
        <v>0.42</v>
      </c>
      <c r="P30" s="124">
        <f t="shared" si="34"/>
        <v>0.59</v>
      </c>
      <c r="Q30" s="111">
        <f t="shared" si="30"/>
        <v>0.25452631578947366</v>
      </c>
      <c r="R30" s="106" t="str">
        <f t="shared" si="13"/>
        <v>&lt;0.05</v>
      </c>
      <c r="S30" s="110">
        <f t="shared" si="33"/>
        <v>4.4999999999999998E-2</v>
      </c>
      <c r="T30" s="110">
        <f t="shared" si="14"/>
        <v>0.18</v>
      </c>
      <c r="U30" s="109" t="str">
        <f t="shared" si="15"/>
        <v>NA</v>
      </c>
      <c r="V30" s="106">
        <f t="shared" si="16"/>
        <v>0.63</v>
      </c>
      <c r="W30" s="108">
        <f t="shared" si="17"/>
        <v>3.5</v>
      </c>
      <c r="X30" s="106" t="str">
        <f t="shared" si="18"/>
        <v>&lt;0.2</v>
      </c>
      <c r="Y30" s="106" t="str">
        <f t="shared" si="19"/>
        <v>&lt;0.02</v>
      </c>
      <c r="Z30" s="106" t="str">
        <f>X30</f>
        <v>&lt;0.2</v>
      </c>
      <c r="AA30" s="106">
        <f t="shared" si="20"/>
        <v>1.1000000000000001</v>
      </c>
      <c r="AB30" s="110" t="str">
        <f t="shared" si="21"/>
        <v>&lt;0.2</v>
      </c>
      <c r="AC30" s="106" t="str">
        <f t="shared" si="22"/>
        <v>&lt;0.2</v>
      </c>
      <c r="AD30" s="109" t="str">
        <f t="shared" si="23"/>
        <v>&lt;10</v>
      </c>
      <c r="AE30" s="109">
        <v>1721012</v>
      </c>
      <c r="AF30" s="106">
        <f t="shared" si="24"/>
        <v>0.59</v>
      </c>
      <c r="AG30" s="106" t="str">
        <f t="shared" si="25"/>
        <v>&lt;0.2</v>
      </c>
      <c r="AH30" s="106" t="str">
        <f t="shared" si="26"/>
        <v>&lt;0.2</v>
      </c>
      <c r="AI30" s="308" t="str">
        <f t="shared" si="27"/>
        <v>&lt;10</v>
      </c>
    </row>
    <row r="31" spans="1:35" ht="24.95" customHeight="1" x14ac:dyDescent="0.3">
      <c r="A31" s="213" t="str">
        <f t="shared" si="0"/>
        <v>Laguna Woods</v>
      </c>
      <c r="B31" s="260">
        <v>1693002</v>
      </c>
      <c r="C31" s="106" t="s">
        <v>133</v>
      </c>
      <c r="D31" s="106" t="str">
        <f t="shared" si="1"/>
        <v>Barbara's Lake</v>
      </c>
      <c r="E31" s="307">
        <f t="shared" si="2"/>
        <v>5</v>
      </c>
      <c r="F31" s="107">
        <f t="shared" si="32"/>
        <v>44341.495138888888</v>
      </c>
      <c r="G31" s="111">
        <f t="shared" si="28"/>
        <v>2E-3</v>
      </c>
      <c r="H31" s="109">
        <f t="shared" si="4"/>
        <v>4110</v>
      </c>
      <c r="I31" s="111">
        <f t="shared" si="5"/>
        <v>7.65</v>
      </c>
      <c r="J31" s="109">
        <f t="shared" si="6"/>
        <v>12</v>
      </c>
      <c r="K31" s="110">
        <f t="shared" si="7"/>
        <v>7.43</v>
      </c>
      <c r="L31" s="109">
        <f t="shared" si="8"/>
        <v>200</v>
      </c>
      <c r="M31" s="109" t="str">
        <f t="shared" si="9"/>
        <v>&gt;=22000</v>
      </c>
      <c r="N31" s="109">
        <f t="shared" si="10"/>
        <v>13</v>
      </c>
      <c r="O31" s="108">
        <f t="shared" si="11"/>
        <v>2.6</v>
      </c>
      <c r="P31" s="215">
        <f t="shared" si="34"/>
        <v>15.6</v>
      </c>
      <c r="Q31" s="111">
        <f t="shared" si="30"/>
        <v>2.1210526315789475</v>
      </c>
      <c r="R31" s="106">
        <f t="shared" si="13"/>
        <v>8.5999999999999993E-2</v>
      </c>
      <c r="S31" s="108">
        <f t="shared" si="33"/>
        <v>3</v>
      </c>
      <c r="T31" s="110">
        <f t="shared" si="14"/>
        <v>0.76</v>
      </c>
      <c r="U31" s="109">
        <f t="shared" si="15"/>
        <v>728</v>
      </c>
      <c r="V31" s="106" t="str">
        <f t="shared" si="16"/>
        <v>&lt;0.2</v>
      </c>
      <c r="W31" s="108">
        <f t="shared" si="17"/>
        <v>6</v>
      </c>
      <c r="X31" s="106">
        <f t="shared" si="18"/>
        <v>0.35</v>
      </c>
      <c r="Y31" s="106" t="str">
        <f t="shared" si="19"/>
        <v>&lt;0.02</v>
      </c>
      <c r="Z31" s="106">
        <f>X31-0.02</f>
        <v>0.32999999999999996</v>
      </c>
      <c r="AA31" s="106">
        <f t="shared" si="20"/>
        <v>8.1999999999999993</v>
      </c>
      <c r="AB31" s="110" t="str">
        <f t="shared" si="21"/>
        <v>&lt;0.2</v>
      </c>
      <c r="AC31" s="106" t="str">
        <f t="shared" si="22"/>
        <v>&lt;0.2</v>
      </c>
      <c r="AD31" s="109">
        <f t="shared" si="23"/>
        <v>26</v>
      </c>
      <c r="AE31" s="109">
        <v>1693005</v>
      </c>
      <c r="AF31" s="106">
        <f t="shared" si="24"/>
        <v>7.4</v>
      </c>
      <c r="AG31" s="106" t="str">
        <f t="shared" si="25"/>
        <v>&lt;0.2</v>
      </c>
      <c r="AH31" s="106" t="str">
        <f t="shared" si="26"/>
        <v>&lt;0.2</v>
      </c>
      <c r="AI31" s="308">
        <f t="shared" si="27"/>
        <v>18</v>
      </c>
    </row>
    <row r="32" spans="1:35" ht="22.5" x14ac:dyDescent="0.3">
      <c r="A32" s="213" t="str">
        <f t="shared" si="0"/>
        <v>Laguna Woods</v>
      </c>
      <c r="B32" s="260"/>
      <c r="C32" s="309" t="s">
        <v>134</v>
      </c>
      <c r="D32" s="106" t="str">
        <f t="shared" si="1"/>
        <v>Aliso Creek</v>
      </c>
      <c r="E32" s="307" t="s">
        <v>233</v>
      </c>
      <c r="F32" s="107">
        <v>44341.451388888891</v>
      </c>
      <c r="G32" s="124">
        <f t="shared" si="28"/>
        <v>0</v>
      </c>
      <c r="H32" s="272"/>
      <c r="I32" s="274"/>
      <c r="J32" s="272"/>
      <c r="K32" s="271"/>
      <c r="L32" s="272"/>
      <c r="M32" s="272"/>
      <c r="N32" s="272"/>
      <c r="O32" s="271"/>
      <c r="P32" s="279"/>
      <c r="Q32" s="274"/>
      <c r="R32" s="275"/>
      <c r="S32" s="271"/>
      <c r="T32" s="273"/>
      <c r="U32" s="272"/>
      <c r="V32" s="275"/>
      <c r="W32" s="271"/>
      <c r="X32" s="275"/>
      <c r="Y32" s="275"/>
      <c r="Z32" s="275"/>
      <c r="AA32" s="275"/>
      <c r="AB32" s="273"/>
      <c r="AC32" s="275"/>
      <c r="AD32" s="272"/>
      <c r="AE32" s="272"/>
      <c r="AF32" s="275"/>
      <c r="AG32" s="275"/>
      <c r="AH32" s="275"/>
      <c r="AI32" s="310"/>
    </row>
    <row r="33" spans="1:36" ht="24.95" customHeight="1" x14ac:dyDescent="0.3">
      <c r="A33" s="213" t="str">
        <f t="shared" si="0"/>
        <v>Laguna Woods</v>
      </c>
      <c r="B33" s="260"/>
      <c r="C33" s="311" t="s">
        <v>136</v>
      </c>
      <c r="D33" s="106" t="str">
        <f t="shared" si="1"/>
        <v>Barbara's Lake</v>
      </c>
      <c r="E33" s="307" t="s">
        <v>234</v>
      </c>
      <c r="F33" s="107">
        <v>44341.468055555553</v>
      </c>
      <c r="G33" s="111">
        <f t="shared" si="28"/>
        <v>0</v>
      </c>
      <c r="H33" s="272"/>
      <c r="I33" s="274"/>
      <c r="J33" s="272"/>
      <c r="K33" s="271"/>
      <c r="L33" s="272"/>
      <c r="M33" s="272"/>
      <c r="N33" s="272"/>
      <c r="O33" s="271"/>
      <c r="P33" s="279"/>
      <c r="Q33" s="274"/>
      <c r="R33" s="275"/>
      <c r="S33" s="271"/>
      <c r="T33" s="273"/>
      <c r="U33" s="272"/>
      <c r="V33" s="275"/>
      <c r="W33" s="271"/>
      <c r="X33" s="275"/>
      <c r="Y33" s="275"/>
      <c r="Z33" s="275"/>
      <c r="AA33" s="275"/>
      <c r="AB33" s="273"/>
      <c r="AC33" s="275"/>
      <c r="AD33" s="272"/>
      <c r="AE33" s="272"/>
      <c r="AF33" s="275"/>
      <c r="AG33" s="275"/>
      <c r="AH33" s="275"/>
      <c r="AI33" s="310"/>
    </row>
    <row r="34" spans="1:36" ht="24.95" customHeight="1" x14ac:dyDescent="0.3">
      <c r="A34" s="213" t="str">
        <f t="shared" si="0"/>
        <v>Lake Forest</v>
      </c>
      <c r="B34" s="260">
        <v>1722001</v>
      </c>
      <c r="C34" s="106" t="s">
        <v>137</v>
      </c>
      <c r="D34" s="106" t="str">
        <f t="shared" si="1"/>
        <v>Aliso Creek</v>
      </c>
      <c r="E34" s="307">
        <f>VLOOKUP(D34, BU, 2, FALSE)</f>
        <v>6</v>
      </c>
      <c r="F34" s="107">
        <f>VLOOKUP($B34,WaterQuality, 2, FALSE)</f>
        <v>44343.381944444445</v>
      </c>
      <c r="G34" s="111">
        <f t="shared" si="28"/>
        <v>8.0000000000000002E-3</v>
      </c>
      <c r="H34" s="109">
        <f>VLOOKUP($B34, WaterQuality, 117, FALSE)</f>
        <v>1038.0999999999999</v>
      </c>
      <c r="I34" s="111">
        <f>VLOOKUP($B34, WaterQuality, 115, FALSE)</f>
        <v>8.85</v>
      </c>
      <c r="J34" s="109">
        <f>VLOOKUP($B34,WaterQuality, 110, FALSE)</f>
        <v>15</v>
      </c>
      <c r="K34" s="110">
        <f>VLOOKUP($B34,WaterQuality, 116, FALSE)</f>
        <v>8.1999999999999993</v>
      </c>
      <c r="L34" s="109">
        <f>VLOOKUP($B34,WaterQuality, 113, FALSE)</f>
        <v>20</v>
      </c>
      <c r="M34" s="109" t="str">
        <f>VLOOKUP($B34, WaterQuality, 114, FALSE)</f>
        <v>&gt;=3600</v>
      </c>
      <c r="N34" s="110">
        <f>VLOOKUP($B34,WaterQuality, 99, FALSE)</f>
        <v>0.91</v>
      </c>
      <c r="O34" s="108">
        <f>VLOOKUP($B34,WaterQuality, 100, FALSE)</f>
        <v>1.2</v>
      </c>
      <c r="P34" s="216">
        <f>N34+O34</f>
        <v>2.11</v>
      </c>
      <c r="Q34" s="111">
        <f>VLOOKUP($B34, WaterQuality, 103, FALSE)*31/95</f>
        <v>0.27084210526315788</v>
      </c>
      <c r="R34" s="106" t="str">
        <f>VLOOKUP($B34,WaterQuality, 89, FALSE)</f>
        <v>&lt;0.05</v>
      </c>
      <c r="S34" s="110">
        <f>VLOOKUP($B34,WaterQuality, 85, FALSE)/1000</f>
        <v>0.95</v>
      </c>
      <c r="T34" s="110">
        <f>VLOOKUP($B34,WaterQuality, 88, FALSE)/1000</f>
        <v>2.1999999999999999E-2</v>
      </c>
      <c r="U34" s="109">
        <f>VLOOKUP($B34,WaterQuality, 84, FALSE)</f>
        <v>290</v>
      </c>
      <c r="V34" s="106" t="str">
        <f>VLOOKUP($B34,WaterQuality, 78, FALSE)</f>
        <v>&lt;0.2</v>
      </c>
      <c r="W34" s="108" t="str">
        <f>VLOOKUP($B34,WaterQuality, 91, FALSE)</f>
        <v>&lt;2</v>
      </c>
      <c r="X34" s="106">
        <f>VLOOKUP($B34,WaterQuality, 81, FALSE)</f>
        <v>1.4</v>
      </c>
      <c r="Y34" s="106">
        <f>VLOOKUP($B34,WaterQuality, 80, FALSE)</f>
        <v>8.3000000000000004E-2</v>
      </c>
      <c r="Z34" s="106" t="s">
        <v>138</v>
      </c>
      <c r="AA34" s="106">
        <f>VLOOKUP($B34,WaterQuality, 82, FALSE)</f>
        <v>4.3</v>
      </c>
      <c r="AB34" s="110">
        <f>VLOOKUP($B34,WaterQuality, 86, FALSE)</f>
        <v>0.64</v>
      </c>
      <c r="AC34" s="106" t="str">
        <f>VLOOKUP($B34,WaterQuality, 93, FALSE)</f>
        <v>&lt;0.2</v>
      </c>
      <c r="AD34" s="109">
        <f>VLOOKUP($B34,WaterQuality, 96, FALSE)</f>
        <v>17</v>
      </c>
      <c r="AE34" s="108">
        <v>1722006</v>
      </c>
      <c r="AF34" s="106">
        <f>VLOOKUP($AE34,WaterQuality, 82, FALSE)</f>
        <v>2.7</v>
      </c>
      <c r="AG34" s="106" t="str">
        <f>VLOOKUP($AE34,WaterQuality, 86, FALSE)</f>
        <v>&lt;0.2</v>
      </c>
      <c r="AH34" s="106" t="str">
        <f>VLOOKUP($AE34,WaterQuality, 93, FALSE)</f>
        <v>&lt;0.2</v>
      </c>
      <c r="AI34" s="308" t="str">
        <f>VLOOKUP($AE34,WaterQuality, 96, FALSE)</f>
        <v>&lt;10</v>
      </c>
    </row>
    <row r="35" spans="1:36" ht="24.95" customHeight="1" x14ac:dyDescent="0.3">
      <c r="A35" s="213" t="str">
        <f t="shared" si="0"/>
        <v>Lake Forest</v>
      </c>
      <c r="B35" s="260">
        <v>1722004</v>
      </c>
      <c r="C35" s="106" t="s">
        <v>139</v>
      </c>
      <c r="D35" s="106" t="str">
        <f t="shared" si="1"/>
        <v>Aliso Creek</v>
      </c>
      <c r="E35" s="307">
        <f>VLOOKUP(D35, BU, 2, FALSE)</f>
        <v>6</v>
      </c>
      <c r="F35" s="107">
        <f>VLOOKUP($B35,WaterQuality, 2, FALSE)</f>
        <v>44343.443749999999</v>
      </c>
      <c r="G35" s="111">
        <f>VLOOKUP($C35, Flow_R1, 8, FALSE)</f>
        <v>0.185</v>
      </c>
      <c r="H35" s="109">
        <f>VLOOKUP($B35, WaterQuality, 117, FALSE)</f>
        <v>2063</v>
      </c>
      <c r="I35" s="111">
        <f>VLOOKUP($B35, WaterQuality, 115, FALSE)</f>
        <v>9.11</v>
      </c>
      <c r="J35" s="110">
        <f>VLOOKUP($B35,WaterQuality, 110, FALSE)</f>
        <v>0.66</v>
      </c>
      <c r="K35" s="110">
        <f>VLOOKUP($B35,WaterQuality, 116, FALSE)</f>
        <v>8.17</v>
      </c>
      <c r="L35" s="109">
        <f>VLOOKUP($B35,WaterQuality, 113, FALSE)</f>
        <v>13300</v>
      </c>
      <c r="M35" s="109" t="str">
        <f>VLOOKUP($B35, WaterQuality, 114, FALSE)</f>
        <v>&gt;=59000</v>
      </c>
      <c r="N35" s="108">
        <f>VLOOKUP($B35,WaterQuality, 99, FALSE)</f>
        <v>6.6</v>
      </c>
      <c r="O35" s="110">
        <f>VLOOKUP($B35,WaterQuality, 100, FALSE)</f>
        <v>0.62</v>
      </c>
      <c r="P35" s="216">
        <f>N35+O35</f>
        <v>7.22</v>
      </c>
      <c r="Q35" s="111">
        <f>VLOOKUP($B35, WaterQuality, 103, FALSE)*31/95</f>
        <v>0.48947368421052634</v>
      </c>
      <c r="R35" s="106" t="str">
        <f>VLOOKUP($B35,WaterQuality, 89, FALSE)</f>
        <v>&lt;0.05</v>
      </c>
      <c r="S35" s="110">
        <f>VLOOKUP($B35,WaterQuality, 85, FALSE)/1000</f>
        <v>2.9000000000000001E-2</v>
      </c>
      <c r="T35" s="370">
        <f>VLOOKUP($B35,WaterQuality, 88, FALSE)/1000</f>
        <v>5.3999999999999999E-2</v>
      </c>
      <c r="U35" s="109">
        <f>VLOOKUP($B35,WaterQuality, 84, FALSE)</f>
        <v>775</v>
      </c>
      <c r="V35" s="106" t="str">
        <f>VLOOKUP($B35,WaterQuality, 78, FALSE)</f>
        <v>&lt;0.2</v>
      </c>
      <c r="W35" s="108">
        <f>VLOOKUP($B35,WaterQuality, 91, FALSE)</f>
        <v>2</v>
      </c>
      <c r="X35" s="106">
        <f>VLOOKUP($B35,WaterQuality, 81, FALSE)</f>
        <v>0.33</v>
      </c>
      <c r="Y35" s="106">
        <f>VLOOKUP($B35,WaterQuality, 80, FALSE)</f>
        <v>0.27</v>
      </c>
      <c r="Z35" s="106">
        <f>X35-Y35</f>
        <v>0.06</v>
      </c>
      <c r="AA35" s="106">
        <f>VLOOKUP($B35,WaterQuality, 82, FALSE)</f>
        <v>2.5</v>
      </c>
      <c r="AB35" s="110" t="str">
        <f>VLOOKUP($B35,WaterQuality, 86, FALSE)</f>
        <v>&lt;0.2</v>
      </c>
      <c r="AC35" s="106" t="str">
        <f>VLOOKUP($B35,WaterQuality, 93, FALSE)</f>
        <v>&lt;0.2</v>
      </c>
      <c r="AD35" s="109" t="str">
        <f>VLOOKUP($B35,WaterQuality, 96, FALSE)</f>
        <v>&lt;10</v>
      </c>
      <c r="AE35" s="109">
        <v>1722009</v>
      </c>
      <c r="AF35" s="106">
        <f>VLOOKUP($AE35,WaterQuality, 82, FALSE)</f>
        <v>1.8</v>
      </c>
      <c r="AG35" s="106" t="str">
        <f>VLOOKUP($AE35,WaterQuality, 86, FALSE)</f>
        <v>&lt;0.2</v>
      </c>
      <c r="AH35" s="106" t="str">
        <f>VLOOKUP($AE35,WaterQuality, 93, FALSE)</f>
        <v>&lt;0.2</v>
      </c>
      <c r="AI35" s="308" t="str">
        <f>VLOOKUP($AE35,WaterQuality, 96, FALSE)</f>
        <v>&lt;10</v>
      </c>
    </row>
    <row r="36" spans="1:36" ht="24.95" customHeight="1" x14ac:dyDescent="0.3">
      <c r="A36" s="213" t="str">
        <f t="shared" si="0"/>
        <v>Lake Forest</v>
      </c>
      <c r="B36" s="267">
        <v>1722002</v>
      </c>
      <c r="C36" s="312" t="s">
        <v>140</v>
      </c>
      <c r="D36" s="106" t="str">
        <f t="shared" si="1"/>
        <v>Aliso Creek</v>
      </c>
      <c r="E36" s="307" t="s">
        <v>233</v>
      </c>
      <c r="F36" s="107">
        <v>44343.408333333333</v>
      </c>
      <c r="G36" s="111">
        <f>VLOOKUP($C36, Flow_R1, 8, FALSE)</f>
        <v>2E-3</v>
      </c>
      <c r="H36" s="272"/>
      <c r="I36" s="274"/>
      <c r="J36" s="273"/>
      <c r="K36" s="271"/>
      <c r="L36" s="272"/>
      <c r="M36" s="272"/>
      <c r="N36" s="271"/>
      <c r="O36" s="273"/>
      <c r="P36" s="277"/>
      <c r="Q36" s="274"/>
      <c r="R36" s="275"/>
      <c r="S36" s="273"/>
      <c r="T36" s="273"/>
      <c r="U36" s="272"/>
      <c r="V36" s="275"/>
      <c r="W36" s="271"/>
      <c r="X36" s="275"/>
      <c r="Y36" s="275"/>
      <c r="Z36" s="275"/>
      <c r="AA36" s="275"/>
      <c r="AB36" s="273"/>
      <c r="AC36" s="275"/>
      <c r="AD36" s="272"/>
      <c r="AE36" s="272"/>
      <c r="AF36" s="275"/>
      <c r="AG36" s="275"/>
      <c r="AH36" s="275"/>
      <c r="AI36" s="310"/>
    </row>
    <row r="37" spans="1:36" ht="24.95" customHeight="1" x14ac:dyDescent="0.3">
      <c r="A37" s="213" t="str">
        <f t="shared" si="0"/>
        <v>Lake Forest</v>
      </c>
      <c r="B37" s="267">
        <v>1722003</v>
      </c>
      <c r="C37" s="312" t="s">
        <v>141</v>
      </c>
      <c r="D37" s="106" t="str">
        <f t="shared" si="1"/>
        <v>Aliso Creek</v>
      </c>
      <c r="E37" s="307" t="s">
        <v>233</v>
      </c>
      <c r="F37" s="107">
        <v>44343.416666666664</v>
      </c>
      <c r="G37" s="111">
        <f t="shared" si="28"/>
        <v>0</v>
      </c>
      <c r="H37" s="272"/>
      <c r="I37" s="274"/>
      <c r="J37" s="273"/>
      <c r="K37" s="271"/>
      <c r="L37" s="272"/>
      <c r="M37" s="272"/>
      <c r="N37" s="271"/>
      <c r="O37" s="273"/>
      <c r="P37" s="277"/>
      <c r="Q37" s="274"/>
      <c r="R37" s="275"/>
      <c r="S37" s="273"/>
      <c r="T37" s="273"/>
      <c r="U37" s="272"/>
      <c r="V37" s="275"/>
      <c r="W37" s="271"/>
      <c r="X37" s="275"/>
      <c r="Y37" s="275"/>
      <c r="Z37" s="275"/>
      <c r="AA37" s="275"/>
      <c r="AB37" s="273"/>
      <c r="AC37" s="275"/>
      <c r="AD37" s="272"/>
      <c r="AE37" s="272"/>
      <c r="AF37" s="275"/>
      <c r="AG37" s="275"/>
      <c r="AH37" s="275"/>
      <c r="AI37" s="310"/>
    </row>
    <row r="38" spans="1:36" ht="24.95" customHeight="1" x14ac:dyDescent="0.3">
      <c r="A38" s="213" t="str">
        <f t="shared" si="0"/>
        <v>Lake Forest</v>
      </c>
      <c r="B38" s="263">
        <v>1722005</v>
      </c>
      <c r="C38" s="312" t="s">
        <v>142</v>
      </c>
      <c r="D38" s="106" t="str">
        <f t="shared" si="1"/>
        <v>Aliso Creek</v>
      </c>
      <c r="E38" s="307" t="s">
        <v>235</v>
      </c>
      <c r="F38" s="107">
        <v>44343.495833333334</v>
      </c>
      <c r="G38" s="111">
        <f t="shared" si="28"/>
        <v>2.6958904109589038E-2</v>
      </c>
      <c r="H38" s="272"/>
      <c r="I38" s="274"/>
      <c r="J38" s="273"/>
      <c r="K38" s="271"/>
      <c r="L38" s="272"/>
      <c r="M38" s="272"/>
      <c r="N38" s="271"/>
      <c r="O38" s="273"/>
      <c r="P38" s="277"/>
      <c r="Q38" s="274"/>
      <c r="R38" s="275"/>
      <c r="S38" s="273"/>
      <c r="T38" s="273"/>
      <c r="U38" s="272"/>
      <c r="V38" s="275"/>
      <c r="W38" s="271"/>
      <c r="X38" s="275"/>
      <c r="Y38" s="275"/>
      <c r="Z38" s="275"/>
      <c r="AA38" s="275"/>
      <c r="AB38" s="273"/>
      <c r="AC38" s="275"/>
      <c r="AD38" s="272"/>
      <c r="AE38" s="272"/>
      <c r="AF38" s="275"/>
      <c r="AG38" s="275"/>
      <c r="AH38" s="275"/>
      <c r="AI38" s="310"/>
    </row>
    <row r="39" spans="1:36" ht="24.95" customHeight="1" x14ac:dyDescent="0.3">
      <c r="A39" s="213" t="str">
        <f t="shared" si="0"/>
        <v>Mission Viejo</v>
      </c>
      <c r="B39" s="260">
        <v>1718003</v>
      </c>
      <c r="C39" s="106" t="s">
        <v>144</v>
      </c>
      <c r="D39" s="106" t="str">
        <f t="shared" si="1"/>
        <v>La Paz Channel</v>
      </c>
      <c r="E39" s="307">
        <f>VLOOKUP(D39, BU, 2, FALSE)</f>
        <v>7</v>
      </c>
      <c r="F39" s="107">
        <f t="shared" ref="F39:F51" si="35">VLOOKUP($B39,WaterQuality, 2, FALSE)</f>
        <v>44341.365277777775</v>
      </c>
      <c r="G39" s="111">
        <f t="shared" si="28"/>
        <v>0.48720000000000008</v>
      </c>
      <c r="H39" s="109">
        <f t="shared" ref="H39:H55" si="36">VLOOKUP($B39, WaterQuality, 117, FALSE)</f>
        <v>5511</v>
      </c>
      <c r="I39" s="111">
        <f t="shared" ref="I39:I55" si="37">VLOOKUP($B39, WaterQuality, 115, FALSE)</f>
        <v>7.57</v>
      </c>
      <c r="J39" s="108">
        <f t="shared" ref="J39:J55" si="38">VLOOKUP($B39,WaterQuality, 110, FALSE)</f>
        <v>1.8</v>
      </c>
      <c r="K39" s="110">
        <f t="shared" ref="K39:K55" si="39">VLOOKUP($B39,WaterQuality, 116, FALSE)</f>
        <v>7.25</v>
      </c>
      <c r="L39" s="109" t="str">
        <f t="shared" ref="L39:L55" si="40">VLOOKUP($B39,WaterQuality, 113, FALSE)</f>
        <v>&gt;=570</v>
      </c>
      <c r="M39" s="109" t="str">
        <f t="shared" ref="M39:M55" si="41">VLOOKUP($B39, WaterQuality, 114, FALSE)</f>
        <v>&gt;=7600</v>
      </c>
      <c r="N39" s="110">
        <f t="shared" ref="N39:N55" si="42">VLOOKUP($B39,WaterQuality, 99, FALSE)</f>
        <v>0.81</v>
      </c>
      <c r="O39" s="110">
        <f t="shared" ref="O39:O55" si="43">VLOOKUP($B39,WaterQuality, 100, FALSE)</f>
        <v>0.82</v>
      </c>
      <c r="P39" s="216">
        <f t="shared" ref="P39:P55" si="44">N39+O39</f>
        <v>1.63</v>
      </c>
      <c r="Q39" s="111">
        <f t="shared" ref="Q39:Q55" si="45">VLOOKUP($B39, WaterQuality, 103, FALSE)*31/95</f>
        <v>0.55473684210526308</v>
      </c>
      <c r="R39" s="106" t="str">
        <f t="shared" ref="R39:R55" si="46">VLOOKUP($B39,WaterQuality, 89, FALSE)</f>
        <v>&lt;0.05</v>
      </c>
      <c r="S39" s="110">
        <f>VLOOKUP($B39,WaterQuality, 85, FALSE)/1000</f>
        <v>0.33</v>
      </c>
      <c r="T39" s="110">
        <f t="shared" ref="T39:T55" si="47">VLOOKUP($B39,WaterQuality, 88, FALSE)/1000</f>
        <v>1</v>
      </c>
      <c r="U39" s="109">
        <f t="shared" ref="U39:U55" si="48">VLOOKUP($B39,WaterQuality, 84, FALSE)</f>
        <v>1330</v>
      </c>
      <c r="V39" s="106">
        <f t="shared" ref="V39:V55" si="49">VLOOKUP($B39,WaterQuality, 78, FALSE)</f>
        <v>1.8</v>
      </c>
      <c r="W39" s="108">
        <f t="shared" ref="W39:W55" si="50">VLOOKUP($B39,WaterQuality, 91, FALSE)</f>
        <v>9.3000000000000007</v>
      </c>
      <c r="X39" s="106">
        <f t="shared" ref="X39:X55" si="51">VLOOKUP($B39,WaterQuality, 81, FALSE)</f>
        <v>0.37</v>
      </c>
      <c r="Y39" s="106" t="str">
        <f t="shared" ref="Y39:Y55" si="52">VLOOKUP($B39,WaterQuality, 80, FALSE)</f>
        <v>&lt;0.02</v>
      </c>
      <c r="Z39" s="111">
        <f>X39</f>
        <v>0.37</v>
      </c>
      <c r="AA39" s="106">
        <f t="shared" ref="AA39:AA55" si="53">VLOOKUP($B39,WaterQuality, 82, FALSE)</f>
        <v>5.4</v>
      </c>
      <c r="AB39" s="110" t="str">
        <f t="shared" ref="AB39:AB55" si="54">VLOOKUP($B39,WaterQuality, 86, FALSE)</f>
        <v>&lt;0.2</v>
      </c>
      <c r="AC39" s="106" t="str">
        <f t="shared" ref="AC39:AC55" si="55">VLOOKUP($B39,WaterQuality, 93, FALSE)</f>
        <v>&lt;0.2</v>
      </c>
      <c r="AD39" s="109" t="str">
        <f t="shared" ref="AD39:AD55" si="56">VLOOKUP($B39,WaterQuality, 96, FALSE)</f>
        <v>&lt;10</v>
      </c>
      <c r="AE39" s="108">
        <v>1718006</v>
      </c>
      <c r="AF39" s="106">
        <f t="shared" ref="AF39:AF55" si="57">VLOOKUP($AE39,WaterQuality, 82, FALSE)</f>
        <v>2.1</v>
      </c>
      <c r="AG39" s="106" t="str">
        <f t="shared" ref="AG39:AG55" si="58">VLOOKUP($AE39,WaterQuality, 86, FALSE)</f>
        <v>&lt;0.2</v>
      </c>
      <c r="AH39" s="106" t="str">
        <f t="shared" ref="AH39:AH55" si="59">VLOOKUP($AE39,WaterQuality, 93, FALSE)</f>
        <v>&lt;0.2</v>
      </c>
      <c r="AI39" s="308" t="str">
        <f t="shared" ref="AI39:AI55" si="60">VLOOKUP($AE39,WaterQuality, 96, FALSE)</f>
        <v>&lt;10</v>
      </c>
    </row>
    <row r="40" spans="1:36" ht="24.95" customHeight="1" x14ac:dyDescent="0.3">
      <c r="A40" s="213" t="str">
        <f t="shared" si="0"/>
        <v>Mission Viejo</v>
      </c>
      <c r="B40" s="260">
        <v>1717002</v>
      </c>
      <c r="C40" s="106" t="s">
        <v>145</v>
      </c>
      <c r="D40" s="106" t="str">
        <f t="shared" si="1"/>
        <v>Oso Creek</v>
      </c>
      <c r="E40" s="307">
        <f>VLOOKUP(D40, BU, 2, FALSE)</f>
        <v>7</v>
      </c>
      <c r="F40" s="107">
        <f t="shared" si="35"/>
        <v>44341.39166666667</v>
      </c>
      <c r="G40" s="111">
        <f t="shared" si="28"/>
        <v>0.35006896551724137</v>
      </c>
      <c r="H40" s="109">
        <f t="shared" si="36"/>
        <v>2142.8000000000002</v>
      </c>
      <c r="I40" s="111">
        <f t="shared" si="37"/>
        <v>8.24</v>
      </c>
      <c r="J40" s="108">
        <f t="shared" si="38"/>
        <v>1.4</v>
      </c>
      <c r="K40" s="110">
        <f t="shared" si="39"/>
        <v>8.09</v>
      </c>
      <c r="L40" s="109">
        <f t="shared" si="40"/>
        <v>2400</v>
      </c>
      <c r="M40" s="109" t="str">
        <f t="shared" si="41"/>
        <v>&gt;=8400</v>
      </c>
      <c r="N40" s="108">
        <f t="shared" si="42"/>
        <v>2.8</v>
      </c>
      <c r="O40" s="108">
        <f t="shared" si="43"/>
        <v>1.4</v>
      </c>
      <c r="P40" s="214">
        <f t="shared" si="44"/>
        <v>4.1999999999999993</v>
      </c>
      <c r="Q40" s="111">
        <f t="shared" si="45"/>
        <v>0.39157894736842103</v>
      </c>
      <c r="R40" s="106">
        <f t="shared" si="46"/>
        <v>6.8000000000000005E-2</v>
      </c>
      <c r="S40" s="110">
        <f>VLOOKUP($B40,WaterQuality, 85, FALSE)/1000</f>
        <v>0.13</v>
      </c>
      <c r="T40" s="110">
        <f t="shared" si="47"/>
        <v>4.5999999999999999E-2</v>
      </c>
      <c r="U40" s="109">
        <f t="shared" si="48"/>
        <v>612</v>
      </c>
      <c r="V40" s="106">
        <f t="shared" si="49"/>
        <v>0.23</v>
      </c>
      <c r="W40" s="108">
        <f t="shared" si="50"/>
        <v>4.5999999999999996</v>
      </c>
      <c r="X40" s="106">
        <f t="shared" si="51"/>
        <v>0.24</v>
      </c>
      <c r="Y40" s="106" t="str">
        <f t="shared" si="52"/>
        <v>&lt;0.02</v>
      </c>
      <c r="Z40" s="111">
        <f>X40</f>
        <v>0.24</v>
      </c>
      <c r="AA40" s="106">
        <f t="shared" si="53"/>
        <v>9.6</v>
      </c>
      <c r="AB40" s="110" t="str">
        <f t="shared" si="54"/>
        <v>&lt;0.2</v>
      </c>
      <c r="AC40" s="106" t="str">
        <f t="shared" si="55"/>
        <v>&lt;0.2</v>
      </c>
      <c r="AD40" s="109" t="str">
        <f t="shared" si="56"/>
        <v>&lt;10</v>
      </c>
      <c r="AE40" s="109">
        <v>1717006</v>
      </c>
      <c r="AF40" s="106">
        <f t="shared" si="57"/>
        <v>8.4</v>
      </c>
      <c r="AG40" s="106" t="str">
        <f t="shared" si="58"/>
        <v>&lt;0.2</v>
      </c>
      <c r="AH40" s="106" t="str">
        <f t="shared" si="59"/>
        <v>&lt;0.2</v>
      </c>
      <c r="AI40" s="308" t="str">
        <f t="shared" si="60"/>
        <v>&lt;10</v>
      </c>
      <c r="AJ40" s="170"/>
    </row>
    <row r="41" spans="1:36" ht="24.95" customHeight="1" x14ac:dyDescent="0.3">
      <c r="A41" s="213" t="str">
        <f t="shared" si="0"/>
        <v>Mission Viejo</v>
      </c>
      <c r="B41" s="260">
        <v>1718001</v>
      </c>
      <c r="C41" s="106" t="s">
        <v>146</v>
      </c>
      <c r="D41" s="106" t="str">
        <f t="shared" si="1"/>
        <v>La Paz Channel</v>
      </c>
      <c r="E41" s="307" t="s">
        <v>236</v>
      </c>
      <c r="F41" s="107">
        <f t="shared" si="35"/>
        <v>44341.418055555558</v>
      </c>
      <c r="G41" s="111">
        <f t="shared" si="28"/>
        <v>0.09</v>
      </c>
      <c r="H41" s="109">
        <f t="shared" si="36"/>
        <v>5197</v>
      </c>
      <c r="I41" s="111">
        <f t="shared" si="37"/>
        <v>7.41</v>
      </c>
      <c r="J41" s="110">
        <f t="shared" si="38"/>
        <v>0.82</v>
      </c>
      <c r="K41" s="110">
        <f t="shared" si="39"/>
        <v>7.71</v>
      </c>
      <c r="L41" s="109">
        <f t="shared" si="40"/>
        <v>300</v>
      </c>
      <c r="M41" s="109">
        <f t="shared" si="41"/>
        <v>33000</v>
      </c>
      <c r="N41" s="108">
        <f t="shared" si="42"/>
        <v>1.1000000000000001</v>
      </c>
      <c r="O41" s="110">
        <f t="shared" si="43"/>
        <v>0.64</v>
      </c>
      <c r="P41" s="214">
        <f t="shared" si="44"/>
        <v>1.7400000000000002</v>
      </c>
      <c r="Q41" s="111">
        <f t="shared" si="45"/>
        <v>0.25778947368421057</v>
      </c>
      <c r="R41" s="106" t="str">
        <f t="shared" si="46"/>
        <v>&lt;0.05</v>
      </c>
      <c r="S41" s="110">
        <f>VLOOKUP($B41,WaterQuality, 85, FALSE)/1000</f>
        <v>8.5999999999999993E-2</v>
      </c>
      <c r="T41" s="110">
        <f t="shared" si="47"/>
        <v>0.14000000000000001</v>
      </c>
      <c r="U41" s="109">
        <f t="shared" si="48"/>
        <v>1370</v>
      </c>
      <c r="V41" s="106">
        <f t="shared" si="49"/>
        <v>0.59</v>
      </c>
      <c r="W41" s="108">
        <f t="shared" si="50"/>
        <v>4.4000000000000004</v>
      </c>
      <c r="X41" s="106" t="str">
        <f t="shared" si="51"/>
        <v>&lt;0.2</v>
      </c>
      <c r="Y41" s="106" t="str">
        <f t="shared" si="52"/>
        <v>&lt;0.02</v>
      </c>
      <c r="Z41" s="115" t="str">
        <f>X41</f>
        <v>&lt;0.2</v>
      </c>
      <c r="AA41" s="112">
        <f t="shared" si="53"/>
        <v>3</v>
      </c>
      <c r="AB41" s="110" t="str">
        <f t="shared" si="54"/>
        <v>&lt;0.2</v>
      </c>
      <c r="AC41" s="106" t="str">
        <f t="shared" si="55"/>
        <v>&lt;0.2</v>
      </c>
      <c r="AD41" s="109" t="str">
        <f t="shared" si="56"/>
        <v>&lt;10</v>
      </c>
      <c r="AE41" s="117">
        <v>1718004</v>
      </c>
      <c r="AF41" s="106">
        <f t="shared" si="57"/>
        <v>2.6</v>
      </c>
      <c r="AG41" s="106" t="str">
        <f t="shared" si="58"/>
        <v>&lt;0.2</v>
      </c>
      <c r="AH41" s="106" t="str">
        <f t="shared" si="59"/>
        <v>&lt;0.2</v>
      </c>
      <c r="AI41" s="308" t="str">
        <f t="shared" si="60"/>
        <v>&lt;10</v>
      </c>
      <c r="AJ41" s="170"/>
    </row>
    <row r="42" spans="1:36" ht="24.95" customHeight="1" x14ac:dyDescent="0.3">
      <c r="A42" s="213" t="str">
        <f t="shared" ref="A42:A60" si="61">VLOOKUP($C42, juris, 3, FALSE)</f>
        <v>Mission Viejo</v>
      </c>
      <c r="B42" s="260">
        <v>1717003</v>
      </c>
      <c r="C42" s="106" t="s">
        <v>148</v>
      </c>
      <c r="D42" s="106" t="str">
        <f t="shared" ref="D42:D60" si="62">VLOOKUP(C42, RW, 2, FALSE)</f>
        <v>Oso Creek</v>
      </c>
      <c r="E42" s="307">
        <f t="shared" ref="E42:E55" si="63">VLOOKUP(D42, BU, 2, FALSE)</f>
        <v>7</v>
      </c>
      <c r="F42" s="107">
        <f t="shared" si="35"/>
        <v>44341.42291666667</v>
      </c>
      <c r="G42" s="111">
        <f t="shared" ref="G42:G60" si="64">VLOOKUP($C42, Flow_R1, 7, FALSE)</f>
        <v>0.255</v>
      </c>
      <c r="H42" s="109">
        <f t="shared" si="36"/>
        <v>2942</v>
      </c>
      <c r="I42" s="111">
        <f t="shared" si="37"/>
        <v>8.6199999999999992</v>
      </c>
      <c r="J42" s="108">
        <f t="shared" si="38"/>
        <v>1.1000000000000001</v>
      </c>
      <c r="K42" s="110">
        <f t="shared" si="39"/>
        <v>7.95</v>
      </c>
      <c r="L42" s="109" t="str">
        <f t="shared" si="40"/>
        <v>&gt;=1290</v>
      </c>
      <c r="M42" s="109" t="str">
        <f t="shared" si="41"/>
        <v>&gt;=8600</v>
      </c>
      <c r="N42" s="108">
        <f t="shared" si="42"/>
        <v>2.8</v>
      </c>
      <c r="O42" s="108">
        <f t="shared" si="43"/>
        <v>1.8</v>
      </c>
      <c r="P42" s="214">
        <f t="shared" si="44"/>
        <v>4.5999999999999996</v>
      </c>
      <c r="Q42" s="111">
        <f t="shared" si="45"/>
        <v>0.42421052631578954</v>
      </c>
      <c r="R42" s="106">
        <f t="shared" si="46"/>
        <v>8.3000000000000004E-2</v>
      </c>
      <c r="S42" s="121" t="s">
        <v>230</v>
      </c>
      <c r="T42" s="110">
        <f t="shared" si="47"/>
        <v>7.8E-2</v>
      </c>
      <c r="U42" s="109">
        <f t="shared" si="48"/>
        <v>1300</v>
      </c>
      <c r="V42" s="106">
        <f t="shared" si="49"/>
        <v>35</v>
      </c>
      <c r="W42" s="109">
        <f t="shared" si="50"/>
        <v>87</v>
      </c>
      <c r="X42" s="106">
        <f t="shared" si="51"/>
        <v>0.41</v>
      </c>
      <c r="Y42" s="106">
        <f t="shared" si="52"/>
        <v>0.06</v>
      </c>
      <c r="Z42" s="111">
        <f>X42-Y42</f>
        <v>0.35</v>
      </c>
      <c r="AA42" s="106">
        <f t="shared" si="53"/>
        <v>6.6</v>
      </c>
      <c r="AB42" s="110" t="str">
        <f t="shared" si="54"/>
        <v>&lt;0.2</v>
      </c>
      <c r="AC42" s="106" t="str">
        <f t="shared" si="55"/>
        <v>&lt;0.2</v>
      </c>
      <c r="AD42" s="109">
        <f t="shared" si="56"/>
        <v>26</v>
      </c>
      <c r="AE42" s="109">
        <v>1717007</v>
      </c>
      <c r="AF42" s="106">
        <f t="shared" si="57"/>
        <v>9.1999999999999993</v>
      </c>
      <c r="AG42" s="106" t="str">
        <f t="shared" si="58"/>
        <v>&lt;0.2</v>
      </c>
      <c r="AH42" s="106" t="str">
        <f t="shared" si="59"/>
        <v>&lt;0.2</v>
      </c>
      <c r="AI42" s="308">
        <f t="shared" si="60"/>
        <v>33</v>
      </c>
    </row>
    <row r="43" spans="1:36" ht="24.95" customHeight="1" x14ac:dyDescent="0.3">
      <c r="A43" s="213" t="str">
        <f t="shared" si="61"/>
        <v>Mission Viejo</v>
      </c>
      <c r="B43" s="260">
        <v>1717004</v>
      </c>
      <c r="C43" s="106" t="s">
        <v>149</v>
      </c>
      <c r="D43" s="106" t="str">
        <f t="shared" si="62"/>
        <v>Oso Creek</v>
      </c>
      <c r="E43" s="307">
        <f t="shared" si="63"/>
        <v>7</v>
      </c>
      <c r="F43" s="107">
        <f t="shared" si="35"/>
        <v>44341.454861111109</v>
      </c>
      <c r="G43" s="111">
        <f t="shared" si="64"/>
        <v>0.19178082191780824</v>
      </c>
      <c r="H43" s="109">
        <f t="shared" si="36"/>
        <v>4688.2</v>
      </c>
      <c r="I43" s="111">
        <f t="shared" si="37"/>
        <v>8.43</v>
      </c>
      <c r="J43" s="108">
        <f t="shared" si="38"/>
        <v>0.97</v>
      </c>
      <c r="K43" s="110">
        <f t="shared" si="39"/>
        <v>7.84</v>
      </c>
      <c r="L43" s="109">
        <f t="shared" si="40"/>
        <v>380</v>
      </c>
      <c r="M43" s="109" t="str">
        <f t="shared" si="41"/>
        <v>&gt;=3900</v>
      </c>
      <c r="N43" s="108">
        <f t="shared" si="42"/>
        <v>3.3</v>
      </c>
      <c r="O43" s="110">
        <f t="shared" si="43"/>
        <v>0.74</v>
      </c>
      <c r="P43" s="214">
        <f t="shared" si="44"/>
        <v>4.04</v>
      </c>
      <c r="Q43" s="111">
        <f t="shared" si="45"/>
        <v>0.35894736842105263</v>
      </c>
      <c r="R43" s="106">
        <f t="shared" si="46"/>
        <v>6.2E-2</v>
      </c>
      <c r="S43" s="110">
        <f t="shared" ref="S43:S55" si="65">VLOOKUP($B43,WaterQuality, 85, FALSE)/1000</f>
        <v>5.2999999999999999E-2</v>
      </c>
      <c r="T43" s="110">
        <f t="shared" si="47"/>
        <v>0.11</v>
      </c>
      <c r="U43" s="109">
        <f t="shared" si="48"/>
        <v>2000</v>
      </c>
      <c r="V43" s="106">
        <f t="shared" si="49"/>
        <v>4.4000000000000004</v>
      </c>
      <c r="W43" s="109">
        <f t="shared" si="50"/>
        <v>35</v>
      </c>
      <c r="X43" s="106">
        <f t="shared" si="51"/>
        <v>0.4</v>
      </c>
      <c r="Y43" s="106" t="str">
        <f t="shared" si="52"/>
        <v>&lt;0.02</v>
      </c>
      <c r="Z43" s="106">
        <f>X43-0.02</f>
        <v>0.38</v>
      </c>
      <c r="AA43" s="106">
        <f t="shared" si="53"/>
        <v>4.5999999999999996</v>
      </c>
      <c r="AB43" s="110" t="str">
        <f t="shared" si="54"/>
        <v>&lt;0.2</v>
      </c>
      <c r="AC43" s="106" t="str">
        <f t="shared" si="55"/>
        <v>&lt;0.2</v>
      </c>
      <c r="AD43" s="109" t="str">
        <f t="shared" si="56"/>
        <v>&lt;10</v>
      </c>
      <c r="AE43" s="109">
        <v>1717008</v>
      </c>
      <c r="AF43" s="106">
        <f t="shared" si="57"/>
        <v>4.2</v>
      </c>
      <c r="AG43" s="106" t="str">
        <f t="shared" si="58"/>
        <v>&lt;0.2</v>
      </c>
      <c r="AH43" s="106" t="str">
        <f t="shared" si="59"/>
        <v>&lt;0.2</v>
      </c>
      <c r="AI43" s="308" t="str">
        <f t="shared" si="60"/>
        <v>&lt;10</v>
      </c>
    </row>
    <row r="44" spans="1:36" ht="24.95" customHeight="1" x14ac:dyDescent="0.3">
      <c r="A44" s="213" t="str">
        <f t="shared" si="61"/>
        <v>Mission Viejo</v>
      </c>
      <c r="B44" s="260">
        <v>1717001</v>
      </c>
      <c r="C44" s="106" t="s">
        <v>150</v>
      </c>
      <c r="D44" s="106" t="str">
        <f t="shared" si="62"/>
        <v>Oso Creek</v>
      </c>
      <c r="E44" s="307" t="s">
        <v>237</v>
      </c>
      <c r="F44" s="107">
        <f t="shared" si="35"/>
        <v>44341.503472222219</v>
      </c>
      <c r="G44" s="111">
        <f t="shared" si="64"/>
        <v>0.13714285714285718</v>
      </c>
      <c r="H44" s="109">
        <f t="shared" si="36"/>
        <v>3846.5</v>
      </c>
      <c r="I44" s="111">
        <f t="shared" si="37"/>
        <v>8.35</v>
      </c>
      <c r="J44" s="110">
        <f t="shared" si="38"/>
        <v>0.27</v>
      </c>
      <c r="K44" s="110">
        <f t="shared" si="39"/>
        <v>7.35</v>
      </c>
      <c r="L44" s="109">
        <f t="shared" si="40"/>
        <v>290</v>
      </c>
      <c r="M44" s="109" t="str">
        <f t="shared" si="41"/>
        <v>&gt;=5400</v>
      </c>
      <c r="N44" s="110">
        <f t="shared" si="42"/>
        <v>0.87</v>
      </c>
      <c r="O44" s="110">
        <f t="shared" si="43"/>
        <v>0.63</v>
      </c>
      <c r="P44" s="216">
        <f t="shared" si="44"/>
        <v>1.5</v>
      </c>
      <c r="Q44" s="111">
        <f t="shared" si="45"/>
        <v>0.23821052631578946</v>
      </c>
      <c r="R44" s="106">
        <f t="shared" si="46"/>
        <v>6.5000000000000002E-2</v>
      </c>
      <c r="S44" s="110">
        <f t="shared" si="65"/>
        <v>0.02</v>
      </c>
      <c r="T44" s="110">
        <f t="shared" si="47"/>
        <v>0.13</v>
      </c>
      <c r="U44" s="109">
        <f t="shared" si="48"/>
        <v>1690</v>
      </c>
      <c r="V44" s="106">
        <f t="shared" si="49"/>
        <v>1.1000000000000001</v>
      </c>
      <c r="W44" s="109">
        <f t="shared" si="50"/>
        <v>15</v>
      </c>
      <c r="X44" s="106" t="str">
        <f t="shared" si="51"/>
        <v>&lt;0.2</v>
      </c>
      <c r="Y44" s="106" t="str">
        <f t="shared" si="52"/>
        <v>&lt;0.02</v>
      </c>
      <c r="Z44" s="106" t="str">
        <f>X44</f>
        <v>&lt;0.2</v>
      </c>
      <c r="AA44" s="106">
        <f t="shared" si="53"/>
        <v>3.1</v>
      </c>
      <c r="AB44" s="110" t="str">
        <f t="shared" si="54"/>
        <v>&lt;0.2</v>
      </c>
      <c r="AC44" s="106" t="str">
        <f t="shared" si="55"/>
        <v>&lt;0.2</v>
      </c>
      <c r="AD44" s="109" t="str">
        <f t="shared" si="56"/>
        <v>&lt;10</v>
      </c>
      <c r="AE44" s="109">
        <v>1717005</v>
      </c>
      <c r="AF44" s="106">
        <f t="shared" si="57"/>
        <v>3.3</v>
      </c>
      <c r="AG44" s="106" t="str">
        <f t="shared" si="58"/>
        <v>&lt;0.2</v>
      </c>
      <c r="AH44" s="106" t="str">
        <f t="shared" si="59"/>
        <v>&lt;0.2</v>
      </c>
      <c r="AI44" s="308" t="str">
        <f t="shared" si="60"/>
        <v>&lt;10</v>
      </c>
    </row>
    <row r="45" spans="1:36" ht="24.95" customHeight="1" x14ac:dyDescent="0.3">
      <c r="A45" s="213" t="str">
        <f t="shared" si="61"/>
        <v>Rancho Santa Margarita</v>
      </c>
      <c r="B45" s="260">
        <v>1756001</v>
      </c>
      <c r="C45" s="106" t="s">
        <v>151</v>
      </c>
      <c r="D45" s="106" t="str">
        <f t="shared" si="62"/>
        <v xml:space="preserve">Arroyo Trabuco </v>
      </c>
      <c r="E45" s="307">
        <f t="shared" si="63"/>
        <v>7</v>
      </c>
      <c r="F45" s="107">
        <f t="shared" si="35"/>
        <v>44350.357638888891</v>
      </c>
      <c r="G45" s="111">
        <f t="shared" si="64"/>
        <v>4.6666666666666669E-2</v>
      </c>
      <c r="H45" s="109">
        <f t="shared" si="36"/>
        <v>2325.87</v>
      </c>
      <c r="I45" s="111">
        <f t="shared" si="37"/>
        <v>8.4</v>
      </c>
      <c r="J45" s="108">
        <f t="shared" si="38"/>
        <v>2</v>
      </c>
      <c r="K45" s="110">
        <f t="shared" si="39"/>
        <v>8.2100000000000009</v>
      </c>
      <c r="L45" s="109" t="str">
        <f t="shared" si="40"/>
        <v>&gt;=2200</v>
      </c>
      <c r="M45" s="109" t="str">
        <f t="shared" si="41"/>
        <v>&gt;=39000</v>
      </c>
      <c r="N45" s="108">
        <f t="shared" si="42"/>
        <v>2.9</v>
      </c>
      <c r="O45" s="108">
        <f t="shared" si="43"/>
        <v>1.9</v>
      </c>
      <c r="P45" s="216">
        <f t="shared" si="44"/>
        <v>4.8</v>
      </c>
      <c r="Q45" s="111">
        <f t="shared" si="45"/>
        <v>0.58736842105263165</v>
      </c>
      <c r="R45" s="106">
        <f t="shared" si="46"/>
        <v>0.06</v>
      </c>
      <c r="S45" s="110">
        <f t="shared" si="65"/>
        <v>5.2999999999999999E-2</v>
      </c>
      <c r="T45" s="110">
        <f t="shared" si="47"/>
        <v>7.1999999999999998E-3</v>
      </c>
      <c r="U45" s="109">
        <f t="shared" si="48"/>
        <v>520</v>
      </c>
      <c r="V45" s="106" t="str">
        <f t="shared" si="49"/>
        <v>&lt;0.2</v>
      </c>
      <c r="W45" s="108" t="str">
        <f t="shared" si="50"/>
        <v>&lt;2</v>
      </c>
      <c r="X45" s="106">
        <f t="shared" si="51"/>
        <v>0.22</v>
      </c>
      <c r="Y45" s="106">
        <f t="shared" si="52"/>
        <v>5.1999999999999998E-2</v>
      </c>
      <c r="Z45" s="111">
        <f>X45</f>
        <v>0.22</v>
      </c>
      <c r="AA45" s="106">
        <f t="shared" si="53"/>
        <v>5.2</v>
      </c>
      <c r="AB45" s="110" t="str">
        <f t="shared" si="54"/>
        <v>&lt;0.2</v>
      </c>
      <c r="AC45" s="106" t="str">
        <f t="shared" si="55"/>
        <v>&lt;0.2</v>
      </c>
      <c r="AD45" s="109" t="str">
        <f t="shared" si="56"/>
        <v>&lt;10</v>
      </c>
      <c r="AE45" s="109">
        <v>1756006</v>
      </c>
      <c r="AF45" s="106">
        <f t="shared" si="57"/>
        <v>4.7</v>
      </c>
      <c r="AG45" s="106" t="str">
        <f t="shared" si="58"/>
        <v>&lt;0.2</v>
      </c>
      <c r="AH45" s="106" t="str">
        <f t="shared" si="59"/>
        <v>&lt;0.2</v>
      </c>
      <c r="AI45" s="308" t="str">
        <f t="shared" si="60"/>
        <v>&lt;10</v>
      </c>
    </row>
    <row r="46" spans="1:36" ht="24.95" customHeight="1" x14ac:dyDescent="0.3">
      <c r="A46" s="213" t="str">
        <f t="shared" si="61"/>
        <v>Rancho Santa Margarita</v>
      </c>
      <c r="B46" s="260">
        <v>1756005</v>
      </c>
      <c r="C46" s="106" t="s">
        <v>152</v>
      </c>
      <c r="D46" s="106" t="str">
        <f t="shared" si="62"/>
        <v xml:space="preserve">Arroyo Trabuco </v>
      </c>
      <c r="E46" s="307">
        <f t="shared" si="63"/>
        <v>7</v>
      </c>
      <c r="F46" s="107">
        <f t="shared" si="35"/>
        <v>44350.365972222222</v>
      </c>
      <c r="G46" s="111">
        <f t="shared" si="64"/>
        <v>0.29419354838709677</v>
      </c>
      <c r="H46" s="109">
        <f t="shared" si="36"/>
        <v>1368.5</v>
      </c>
      <c r="I46" s="111">
        <f t="shared" si="37"/>
        <v>8.61</v>
      </c>
      <c r="J46" s="108">
        <f t="shared" si="38"/>
        <v>1.2</v>
      </c>
      <c r="K46" s="110">
        <f t="shared" si="39"/>
        <v>7.91</v>
      </c>
      <c r="L46" s="109" t="str">
        <f t="shared" si="40"/>
        <v>&gt;=4600</v>
      </c>
      <c r="M46" s="109" t="str">
        <f t="shared" si="41"/>
        <v>&gt;=24000</v>
      </c>
      <c r="N46" s="108">
        <f t="shared" si="42"/>
        <v>1.1000000000000001</v>
      </c>
      <c r="O46" s="110">
        <f t="shared" si="43"/>
        <v>0.72</v>
      </c>
      <c r="P46" s="216">
        <f t="shared" si="44"/>
        <v>1.82</v>
      </c>
      <c r="Q46" s="111">
        <f t="shared" si="45"/>
        <v>0.35894736842105263</v>
      </c>
      <c r="R46" s="106" t="str">
        <f t="shared" si="46"/>
        <v>&lt;0.05</v>
      </c>
      <c r="S46" s="110">
        <f t="shared" si="65"/>
        <v>7.4999999999999997E-2</v>
      </c>
      <c r="T46" s="110">
        <f t="shared" si="47"/>
        <v>1.2999999999999999E-2</v>
      </c>
      <c r="U46" s="109">
        <f t="shared" si="48"/>
        <v>436</v>
      </c>
      <c r="V46" s="106" t="str">
        <f t="shared" si="49"/>
        <v>&lt;0.2</v>
      </c>
      <c r="W46" s="108" t="str">
        <f t="shared" si="50"/>
        <v>&lt;2</v>
      </c>
      <c r="X46" s="106">
        <f t="shared" si="51"/>
        <v>0.24</v>
      </c>
      <c r="Y46" s="106">
        <f t="shared" si="52"/>
        <v>8.4000000000000005E-2</v>
      </c>
      <c r="Z46" s="106" t="s">
        <v>153</v>
      </c>
      <c r="AA46" s="106">
        <f t="shared" si="53"/>
        <v>5.9</v>
      </c>
      <c r="AB46" s="110" t="str">
        <f t="shared" si="54"/>
        <v>&lt;0.2</v>
      </c>
      <c r="AC46" s="106" t="str">
        <f t="shared" si="55"/>
        <v>&lt;0.2</v>
      </c>
      <c r="AD46" s="109" t="str">
        <f t="shared" si="56"/>
        <v>&lt;10</v>
      </c>
      <c r="AE46" s="109">
        <v>1756010</v>
      </c>
      <c r="AF46" s="106">
        <f t="shared" si="57"/>
        <v>5.0999999999999996</v>
      </c>
      <c r="AG46" s="106" t="str">
        <f t="shared" si="58"/>
        <v>&lt;0.2</v>
      </c>
      <c r="AH46" s="106" t="str">
        <f t="shared" si="59"/>
        <v>&lt;0.2</v>
      </c>
      <c r="AI46" s="308" t="str">
        <f t="shared" si="60"/>
        <v>&lt;10</v>
      </c>
    </row>
    <row r="47" spans="1:36" ht="24.95" customHeight="1" x14ac:dyDescent="0.3">
      <c r="A47" s="213" t="str">
        <f t="shared" si="61"/>
        <v>Rancho Santa Margarita</v>
      </c>
      <c r="B47" s="260">
        <v>1756003</v>
      </c>
      <c r="C47" s="106" t="s">
        <v>154</v>
      </c>
      <c r="D47" s="106" t="str">
        <f t="shared" si="62"/>
        <v>Tijeras Creek</v>
      </c>
      <c r="E47" s="307">
        <f t="shared" si="63"/>
        <v>7</v>
      </c>
      <c r="F47" s="118">
        <f t="shared" si="35"/>
        <v>44350.412499999999</v>
      </c>
      <c r="G47" s="111">
        <f t="shared" si="64"/>
        <v>0.36627906976744196</v>
      </c>
      <c r="H47" s="109">
        <f t="shared" si="36"/>
        <v>1550.5</v>
      </c>
      <c r="I47" s="111">
        <f t="shared" si="37"/>
        <v>8.93</v>
      </c>
      <c r="J47" s="108">
        <f t="shared" si="38"/>
        <v>0.98</v>
      </c>
      <c r="K47" s="110">
        <f t="shared" si="39"/>
        <v>8.3800000000000008</v>
      </c>
      <c r="L47" s="109">
        <f t="shared" si="40"/>
        <v>3900</v>
      </c>
      <c r="M47" s="109" t="str">
        <f t="shared" si="41"/>
        <v>&gt;=12500</v>
      </c>
      <c r="N47" s="108">
        <f t="shared" si="42"/>
        <v>1.5</v>
      </c>
      <c r="O47" s="108">
        <f t="shared" si="43"/>
        <v>1</v>
      </c>
      <c r="P47" s="216">
        <f t="shared" si="44"/>
        <v>2.5</v>
      </c>
      <c r="Q47" s="111">
        <f t="shared" si="45"/>
        <v>0.62</v>
      </c>
      <c r="R47" s="106">
        <f t="shared" si="46"/>
        <v>0.06</v>
      </c>
      <c r="S47" s="110">
        <f t="shared" si="65"/>
        <v>0.17</v>
      </c>
      <c r="T47" s="110">
        <f t="shared" si="47"/>
        <v>1.0999999999999999E-2</v>
      </c>
      <c r="U47" s="109">
        <f t="shared" si="48"/>
        <v>435</v>
      </c>
      <c r="V47" s="106" t="str">
        <f t="shared" si="49"/>
        <v>&lt;0.2</v>
      </c>
      <c r="W47" s="108" t="str">
        <f t="shared" si="50"/>
        <v>&lt;2</v>
      </c>
      <c r="X47" s="106">
        <f t="shared" si="51"/>
        <v>0.23</v>
      </c>
      <c r="Y47" s="106">
        <f t="shared" si="52"/>
        <v>7.0000000000000007E-2</v>
      </c>
      <c r="Z47" s="106" t="s">
        <v>153</v>
      </c>
      <c r="AA47" s="106">
        <f t="shared" si="53"/>
        <v>11</v>
      </c>
      <c r="AB47" s="110" t="str">
        <f t="shared" si="54"/>
        <v>&lt;0.2</v>
      </c>
      <c r="AC47" s="106" t="str">
        <f t="shared" si="55"/>
        <v>&lt;0.2</v>
      </c>
      <c r="AD47" s="109" t="str">
        <f t="shared" si="56"/>
        <v>&lt;10</v>
      </c>
      <c r="AE47" s="109">
        <v>1756008</v>
      </c>
      <c r="AF47" s="106">
        <f t="shared" si="57"/>
        <v>9.5</v>
      </c>
      <c r="AG47" s="106" t="str">
        <f t="shared" si="58"/>
        <v>&lt;0.2</v>
      </c>
      <c r="AH47" s="106" t="str">
        <f t="shared" si="59"/>
        <v>&lt;0.2</v>
      </c>
      <c r="AI47" s="308" t="str">
        <f t="shared" si="60"/>
        <v>&lt;10</v>
      </c>
    </row>
    <row r="48" spans="1:36" ht="24.95" customHeight="1" x14ac:dyDescent="0.3">
      <c r="A48" s="213" t="str">
        <f t="shared" si="61"/>
        <v>Rancho Santa Margarita</v>
      </c>
      <c r="B48" s="260">
        <v>1756002</v>
      </c>
      <c r="C48" s="106" t="s">
        <v>155</v>
      </c>
      <c r="D48" s="106" t="str">
        <f t="shared" si="62"/>
        <v>Tijeras Creek</v>
      </c>
      <c r="E48" s="307">
        <f t="shared" si="63"/>
        <v>7</v>
      </c>
      <c r="F48" s="107">
        <f t="shared" si="35"/>
        <v>44350.415277777778</v>
      </c>
      <c r="G48" s="111">
        <f t="shared" si="64"/>
        <v>1.4400000000000001E-2</v>
      </c>
      <c r="H48" s="109">
        <f t="shared" si="36"/>
        <v>1401.3</v>
      </c>
      <c r="I48" s="111">
        <f t="shared" si="37"/>
        <v>8.99</v>
      </c>
      <c r="J48" s="110">
        <f t="shared" si="38"/>
        <v>0.9</v>
      </c>
      <c r="K48" s="110">
        <f t="shared" si="39"/>
        <v>8.24</v>
      </c>
      <c r="L48" s="109" t="str">
        <f t="shared" si="40"/>
        <v>&gt;=4400</v>
      </c>
      <c r="M48" s="109" t="str">
        <f t="shared" si="41"/>
        <v>&gt;=21000</v>
      </c>
      <c r="N48" s="108">
        <f t="shared" si="42"/>
        <v>3.1</v>
      </c>
      <c r="O48" s="108">
        <f t="shared" si="43"/>
        <v>1.7</v>
      </c>
      <c r="P48" s="216">
        <f>N48+O48</f>
        <v>4.8</v>
      </c>
      <c r="Q48" s="111">
        <f t="shared" si="45"/>
        <v>0.45684210526315788</v>
      </c>
      <c r="R48" s="106">
        <f t="shared" si="46"/>
        <v>6.2E-2</v>
      </c>
      <c r="S48" s="110">
        <f t="shared" si="65"/>
        <v>0.09</v>
      </c>
      <c r="T48" s="110">
        <f t="shared" si="47"/>
        <v>9.1000000000000004E-3</v>
      </c>
      <c r="U48" s="109">
        <f t="shared" si="48"/>
        <v>417</v>
      </c>
      <c r="V48" s="106" t="str">
        <f t="shared" si="49"/>
        <v>&lt;0.2</v>
      </c>
      <c r="W48" s="108" t="str">
        <f t="shared" si="50"/>
        <v>&lt;2</v>
      </c>
      <c r="X48" s="106">
        <f t="shared" si="51"/>
        <v>0.63</v>
      </c>
      <c r="Y48" s="106">
        <f t="shared" si="52"/>
        <v>0.46</v>
      </c>
      <c r="Z48" s="111">
        <f>X48-Y48</f>
        <v>0.16999999999999998</v>
      </c>
      <c r="AA48" s="106">
        <f t="shared" si="53"/>
        <v>6.8</v>
      </c>
      <c r="AB48" s="110" t="str">
        <f t="shared" si="54"/>
        <v>&lt;0.2</v>
      </c>
      <c r="AC48" s="106" t="str">
        <f t="shared" si="55"/>
        <v>&lt;0.2</v>
      </c>
      <c r="AD48" s="109">
        <f t="shared" si="56"/>
        <v>21</v>
      </c>
      <c r="AE48" s="109">
        <v>1756007</v>
      </c>
      <c r="AF48" s="106">
        <f t="shared" si="57"/>
        <v>4.9000000000000004</v>
      </c>
      <c r="AG48" s="106" t="str">
        <f t="shared" si="58"/>
        <v>&lt;0.2</v>
      </c>
      <c r="AH48" s="106" t="str">
        <f t="shared" si="59"/>
        <v>&lt;0.2</v>
      </c>
      <c r="AI48" s="308">
        <f t="shared" si="60"/>
        <v>15</v>
      </c>
    </row>
    <row r="49" spans="1:36" ht="24.95" customHeight="1" x14ac:dyDescent="0.3">
      <c r="A49" s="213" t="str">
        <f t="shared" si="61"/>
        <v>Rancho Santa Margarita</v>
      </c>
      <c r="B49" s="260">
        <v>1756004</v>
      </c>
      <c r="C49" s="106" t="s">
        <v>156</v>
      </c>
      <c r="D49" s="106" t="str">
        <f t="shared" si="62"/>
        <v>Bell Creek</v>
      </c>
      <c r="E49" s="307">
        <f t="shared" si="63"/>
        <v>7</v>
      </c>
      <c r="F49" s="107">
        <f t="shared" si="35"/>
        <v>44350.429861111108</v>
      </c>
      <c r="G49" s="111">
        <f t="shared" si="64"/>
        <v>0.10000000000000002</v>
      </c>
      <c r="H49" s="109">
        <f t="shared" si="36"/>
        <v>3290.78</v>
      </c>
      <c r="I49" s="111">
        <f t="shared" si="37"/>
        <v>8.4600000000000009</v>
      </c>
      <c r="J49" s="108">
        <f t="shared" si="38"/>
        <v>4.5999999999999996</v>
      </c>
      <c r="K49" s="110">
        <f t="shared" si="39"/>
        <v>8.08</v>
      </c>
      <c r="L49" s="109">
        <f t="shared" si="40"/>
        <v>210</v>
      </c>
      <c r="M49" s="109" t="str">
        <f t="shared" si="41"/>
        <v>&gt;=2200</v>
      </c>
      <c r="N49" s="110">
        <f t="shared" si="42"/>
        <v>0.7</v>
      </c>
      <c r="O49" s="110">
        <f t="shared" si="43"/>
        <v>0.71</v>
      </c>
      <c r="P49" s="216">
        <f t="shared" si="44"/>
        <v>1.41</v>
      </c>
      <c r="Q49" s="111">
        <f t="shared" si="45"/>
        <v>0.35894736842105263</v>
      </c>
      <c r="R49" s="106">
        <f t="shared" si="46"/>
        <v>6.2E-2</v>
      </c>
      <c r="S49" s="108">
        <f t="shared" si="65"/>
        <v>1.5</v>
      </c>
      <c r="T49" s="110">
        <f t="shared" si="47"/>
        <v>0.86</v>
      </c>
      <c r="U49" s="109">
        <f t="shared" si="48"/>
        <v>819</v>
      </c>
      <c r="V49" s="106" t="str">
        <f t="shared" si="49"/>
        <v>&lt;0.2</v>
      </c>
      <c r="W49" s="108">
        <f t="shared" si="50"/>
        <v>2.5</v>
      </c>
      <c r="X49" s="106" t="str">
        <f t="shared" si="51"/>
        <v>&lt;0.2</v>
      </c>
      <c r="Y49" s="106" t="str">
        <f t="shared" si="52"/>
        <v>&lt;0.02</v>
      </c>
      <c r="Z49" s="106" t="str">
        <f>X49</f>
        <v>&lt;0.2</v>
      </c>
      <c r="AA49" s="106">
        <f t="shared" si="53"/>
        <v>6.9</v>
      </c>
      <c r="AB49" s="110" t="str">
        <f t="shared" si="54"/>
        <v>&lt;0.2</v>
      </c>
      <c r="AC49" s="106" t="str">
        <f t="shared" si="55"/>
        <v>&lt;0.2</v>
      </c>
      <c r="AD49" s="109" t="str">
        <f t="shared" si="56"/>
        <v>&lt;10</v>
      </c>
      <c r="AE49" s="109">
        <v>1756009</v>
      </c>
      <c r="AF49" s="106">
        <f t="shared" si="57"/>
        <v>6.1</v>
      </c>
      <c r="AG49" s="106" t="str">
        <f t="shared" si="58"/>
        <v>&lt;0.2</v>
      </c>
      <c r="AH49" s="106" t="str">
        <f t="shared" si="59"/>
        <v>&lt;0.2</v>
      </c>
      <c r="AI49" s="308" t="str">
        <f t="shared" si="60"/>
        <v>&lt;10</v>
      </c>
    </row>
    <row r="50" spans="1:36" ht="24.95" customHeight="1" x14ac:dyDescent="0.3">
      <c r="A50" s="213" t="str">
        <f t="shared" si="61"/>
        <v>San Clemente</v>
      </c>
      <c r="B50" s="260">
        <v>1744002</v>
      </c>
      <c r="C50" s="106" t="s">
        <v>157</v>
      </c>
      <c r="D50" s="106" t="str">
        <f t="shared" si="62"/>
        <v>Prima Deshecha</v>
      </c>
      <c r="E50" s="307">
        <f t="shared" si="63"/>
        <v>6</v>
      </c>
      <c r="F50" s="107">
        <f t="shared" si="35"/>
        <v>44349.381249999999</v>
      </c>
      <c r="G50" s="111">
        <f t="shared" si="64"/>
        <v>4.0000000000000001E-3</v>
      </c>
      <c r="H50" s="109">
        <f t="shared" si="36"/>
        <v>17432.3</v>
      </c>
      <c r="I50" s="111">
        <f t="shared" si="37"/>
        <v>8.77</v>
      </c>
      <c r="J50" s="108">
        <f t="shared" si="38"/>
        <v>1.9</v>
      </c>
      <c r="K50" s="110">
        <f t="shared" si="39"/>
        <v>7.64</v>
      </c>
      <c r="L50" s="109" t="str">
        <f t="shared" si="40"/>
        <v>&gt;=1200</v>
      </c>
      <c r="M50" s="109" t="str">
        <f t="shared" si="41"/>
        <v>&gt;=49000</v>
      </c>
      <c r="N50" s="109">
        <f t="shared" si="42"/>
        <v>27</v>
      </c>
      <c r="O50" s="108">
        <f t="shared" si="43"/>
        <v>2</v>
      </c>
      <c r="P50" s="235">
        <f t="shared" si="44"/>
        <v>29</v>
      </c>
      <c r="Q50" s="111">
        <f t="shared" si="45"/>
        <v>0.26431578947368423</v>
      </c>
      <c r="R50" s="106">
        <f t="shared" si="46"/>
        <v>0.05</v>
      </c>
      <c r="S50" s="110">
        <f t="shared" si="65"/>
        <v>2.5000000000000001E-2</v>
      </c>
      <c r="T50" s="109">
        <f t="shared" si="47"/>
        <v>13</v>
      </c>
      <c r="U50" s="109">
        <f t="shared" si="48"/>
        <v>7050</v>
      </c>
      <c r="V50" s="106">
        <f t="shared" si="49"/>
        <v>170</v>
      </c>
      <c r="W50" s="261">
        <f t="shared" si="50"/>
        <v>1100</v>
      </c>
      <c r="X50" s="106">
        <f t="shared" si="51"/>
        <v>0.93</v>
      </c>
      <c r="Y50" s="106" t="str">
        <f t="shared" si="52"/>
        <v>&lt;0.1</v>
      </c>
      <c r="Z50" s="106" t="s">
        <v>159</v>
      </c>
      <c r="AA50" s="106">
        <f t="shared" si="53"/>
        <v>7.1</v>
      </c>
      <c r="AB50" s="110">
        <f t="shared" si="54"/>
        <v>0.21</v>
      </c>
      <c r="AC50" s="106" t="str">
        <f t="shared" si="55"/>
        <v>&lt;0.2</v>
      </c>
      <c r="AD50" s="218">
        <f t="shared" si="56"/>
        <v>520</v>
      </c>
      <c r="AE50" s="109">
        <v>1744008</v>
      </c>
      <c r="AF50" s="106">
        <f t="shared" si="57"/>
        <v>7.1</v>
      </c>
      <c r="AG50" s="106" t="str">
        <f t="shared" si="58"/>
        <v>&lt;0.2</v>
      </c>
      <c r="AH50" s="106" t="str">
        <f t="shared" si="59"/>
        <v>&lt;0.2</v>
      </c>
      <c r="AI50" s="308">
        <f t="shared" si="60"/>
        <v>510</v>
      </c>
    </row>
    <row r="51" spans="1:36" ht="24.95" customHeight="1" x14ac:dyDescent="0.3">
      <c r="A51" s="213" t="str">
        <f t="shared" si="61"/>
        <v>San Clemente</v>
      </c>
      <c r="B51" s="260">
        <v>1744003</v>
      </c>
      <c r="C51" s="106" t="s">
        <v>160</v>
      </c>
      <c r="D51" s="106" t="str">
        <f t="shared" si="62"/>
        <v>Segunda Deshecha</v>
      </c>
      <c r="E51" s="307">
        <f t="shared" si="63"/>
        <v>6</v>
      </c>
      <c r="F51" s="107">
        <f t="shared" si="35"/>
        <v>44349.381944444445</v>
      </c>
      <c r="G51" s="111">
        <f t="shared" si="64"/>
        <v>0.3024</v>
      </c>
      <c r="H51" s="109">
        <f t="shared" si="36"/>
        <v>3922</v>
      </c>
      <c r="I51" s="111">
        <f t="shared" si="37"/>
        <v>8.18</v>
      </c>
      <c r="J51" s="109">
        <f t="shared" si="38"/>
        <v>100</v>
      </c>
      <c r="K51" s="110">
        <f t="shared" si="39"/>
        <v>8.42</v>
      </c>
      <c r="L51" s="109">
        <f t="shared" si="40"/>
        <v>710</v>
      </c>
      <c r="M51" s="109" t="str">
        <f t="shared" si="41"/>
        <v>&gt;=32000</v>
      </c>
      <c r="N51" s="108">
        <f t="shared" si="42"/>
        <v>4.7</v>
      </c>
      <c r="O51" s="108">
        <f t="shared" si="43"/>
        <v>3</v>
      </c>
      <c r="P51" s="216">
        <f t="shared" si="44"/>
        <v>7.7</v>
      </c>
      <c r="Q51" s="111">
        <f t="shared" si="45"/>
        <v>0.52210526315789474</v>
      </c>
      <c r="R51" s="106" t="str">
        <f t="shared" si="46"/>
        <v>&lt;0.05</v>
      </c>
      <c r="S51" s="108">
        <f t="shared" si="65"/>
        <v>7.6</v>
      </c>
      <c r="T51" s="110">
        <f t="shared" si="47"/>
        <v>0.32</v>
      </c>
      <c r="U51" s="109">
        <f t="shared" si="48"/>
        <v>801</v>
      </c>
      <c r="V51" s="106">
        <f t="shared" si="49"/>
        <v>1.7</v>
      </c>
      <c r="W51" s="109">
        <f t="shared" si="50"/>
        <v>20</v>
      </c>
      <c r="X51" s="106">
        <f t="shared" si="51"/>
        <v>11</v>
      </c>
      <c r="Y51" s="106">
        <f t="shared" si="52"/>
        <v>0.12</v>
      </c>
      <c r="Z51" s="106">
        <f>X51-Y51</f>
        <v>10.88</v>
      </c>
      <c r="AA51" s="106">
        <f t="shared" si="53"/>
        <v>11</v>
      </c>
      <c r="AB51" s="110">
        <f t="shared" si="54"/>
        <v>1.4</v>
      </c>
      <c r="AC51" s="106" t="str">
        <f t="shared" si="55"/>
        <v>&lt;0.2</v>
      </c>
      <c r="AD51" s="109">
        <f t="shared" si="56"/>
        <v>44</v>
      </c>
      <c r="AE51" s="109">
        <v>1744009</v>
      </c>
      <c r="AF51" s="106">
        <f t="shared" si="57"/>
        <v>3.5</v>
      </c>
      <c r="AG51" s="106" t="str">
        <f t="shared" si="58"/>
        <v>&lt;0.2</v>
      </c>
      <c r="AH51" s="106" t="str">
        <f t="shared" si="59"/>
        <v>&lt;0.2</v>
      </c>
      <c r="AI51" s="308" t="str">
        <f t="shared" si="60"/>
        <v>&lt;10</v>
      </c>
    </row>
    <row r="52" spans="1:36" ht="24.95" customHeight="1" x14ac:dyDescent="0.3">
      <c r="A52" s="213" t="str">
        <f t="shared" si="61"/>
        <v>San Clemente</v>
      </c>
      <c r="B52" s="260">
        <v>1744004</v>
      </c>
      <c r="C52" s="106" t="s">
        <v>161</v>
      </c>
      <c r="D52" s="106" t="str">
        <f t="shared" si="62"/>
        <v>Segunda Deshecha</v>
      </c>
      <c r="E52" s="307" t="s">
        <v>232</v>
      </c>
      <c r="F52" s="107">
        <f>VLOOKUP($B52,WaterQuality, 2, FALSE)</f>
        <v>44349.416666666664</v>
      </c>
      <c r="G52" s="111">
        <f t="shared" si="64"/>
        <v>1.44</v>
      </c>
      <c r="H52" s="109">
        <f t="shared" si="36"/>
        <v>6076</v>
      </c>
      <c r="I52" s="111">
        <f t="shared" si="37"/>
        <v>8.83</v>
      </c>
      <c r="J52" s="108">
        <f t="shared" si="38"/>
        <v>6.4</v>
      </c>
      <c r="K52" s="110">
        <f t="shared" si="39"/>
        <v>7.85</v>
      </c>
      <c r="L52" s="109">
        <f t="shared" si="40"/>
        <v>2900</v>
      </c>
      <c r="M52" s="109" t="str">
        <f t="shared" si="41"/>
        <v>&gt;=24000</v>
      </c>
      <c r="N52" s="108">
        <f t="shared" si="42"/>
        <v>4.4000000000000004</v>
      </c>
      <c r="O52" s="108">
        <f t="shared" si="43"/>
        <v>2.1</v>
      </c>
      <c r="P52" s="216">
        <f t="shared" si="44"/>
        <v>6.5</v>
      </c>
      <c r="Q52" s="111">
        <f t="shared" si="45"/>
        <v>0.52210526315789474</v>
      </c>
      <c r="R52" s="106" t="str">
        <f t="shared" si="46"/>
        <v>&lt;0.05</v>
      </c>
      <c r="S52" s="110">
        <f t="shared" si="65"/>
        <v>0.4</v>
      </c>
      <c r="T52" s="110">
        <f t="shared" si="47"/>
        <v>0.47</v>
      </c>
      <c r="U52" s="109">
        <f t="shared" si="48"/>
        <v>1100</v>
      </c>
      <c r="V52" s="106">
        <f t="shared" si="49"/>
        <v>7.1</v>
      </c>
      <c r="W52" s="109">
        <f t="shared" si="50"/>
        <v>73</v>
      </c>
      <c r="X52" s="106">
        <f t="shared" si="51"/>
        <v>0.95</v>
      </c>
      <c r="Y52" s="106">
        <f t="shared" si="52"/>
        <v>2.3E-2</v>
      </c>
      <c r="Z52" s="111">
        <f>X52-Y52</f>
        <v>0.92699999999999994</v>
      </c>
      <c r="AA52" s="106">
        <f t="shared" si="53"/>
        <v>4.0999999999999996</v>
      </c>
      <c r="AB52" s="110" t="str">
        <f t="shared" si="54"/>
        <v>&lt;0.2</v>
      </c>
      <c r="AC52" s="106" t="str">
        <f t="shared" si="55"/>
        <v>&lt;0.2</v>
      </c>
      <c r="AD52" s="109">
        <f t="shared" si="56"/>
        <v>24</v>
      </c>
      <c r="AE52" s="109">
        <v>1744010</v>
      </c>
      <c r="AF52" s="106">
        <f t="shared" si="57"/>
        <v>3.3</v>
      </c>
      <c r="AG52" s="106" t="str">
        <f t="shared" si="58"/>
        <v>&lt;0.2</v>
      </c>
      <c r="AH52" s="106" t="str">
        <f t="shared" si="59"/>
        <v>&lt;0.2</v>
      </c>
      <c r="AI52" s="308">
        <f t="shared" si="60"/>
        <v>20</v>
      </c>
    </row>
    <row r="53" spans="1:36" ht="24.95" customHeight="1" x14ac:dyDescent="0.3">
      <c r="A53" s="213" t="str">
        <f t="shared" si="61"/>
        <v>San Clemente</v>
      </c>
      <c r="B53" s="260">
        <v>1744001</v>
      </c>
      <c r="C53" s="106" t="s">
        <v>162</v>
      </c>
      <c r="D53" s="106" t="str">
        <f t="shared" si="62"/>
        <v>Segunda Deshecha</v>
      </c>
      <c r="E53" s="307">
        <f t="shared" si="63"/>
        <v>6</v>
      </c>
      <c r="F53" s="107">
        <f>VLOOKUP($B53,WaterQuality, 2, FALSE)</f>
        <v>44349.446527777778</v>
      </c>
      <c r="G53" s="111">
        <f t="shared" si="64"/>
        <v>2.4000000000000004E-2</v>
      </c>
      <c r="H53" s="109">
        <f t="shared" si="36"/>
        <v>1584.2</v>
      </c>
      <c r="I53" s="111">
        <f t="shared" si="37"/>
        <v>9.02</v>
      </c>
      <c r="J53" s="108">
        <f t="shared" si="38"/>
        <v>8</v>
      </c>
      <c r="K53" s="110">
        <f t="shared" si="39"/>
        <v>8.3699999999999992</v>
      </c>
      <c r="L53" s="109" t="str">
        <f t="shared" si="40"/>
        <v>&gt;=4800</v>
      </c>
      <c r="M53" s="109" t="str">
        <f t="shared" si="41"/>
        <v>&gt;=46000</v>
      </c>
      <c r="N53" s="108">
        <f t="shared" si="42"/>
        <v>3.7</v>
      </c>
      <c r="O53" s="108">
        <f t="shared" si="43"/>
        <v>1.5</v>
      </c>
      <c r="P53" s="216">
        <f t="shared" si="44"/>
        <v>5.2</v>
      </c>
      <c r="Q53" s="111">
        <f t="shared" si="45"/>
        <v>0.62</v>
      </c>
      <c r="R53" s="106">
        <f t="shared" si="46"/>
        <v>5.8000000000000003E-2</v>
      </c>
      <c r="S53" s="110">
        <f t="shared" si="65"/>
        <v>0.47</v>
      </c>
      <c r="T53" s="110">
        <f t="shared" si="47"/>
        <v>9.5999999999999992E-3</v>
      </c>
      <c r="U53" s="109">
        <f t="shared" si="48"/>
        <v>460</v>
      </c>
      <c r="V53" s="106" t="str">
        <f t="shared" si="49"/>
        <v>&lt;0.2</v>
      </c>
      <c r="W53" s="108">
        <f t="shared" si="50"/>
        <v>2.2999999999999998</v>
      </c>
      <c r="X53" s="106">
        <f t="shared" si="51"/>
        <v>0.35</v>
      </c>
      <c r="Y53" s="106">
        <f t="shared" si="52"/>
        <v>8.4000000000000005E-2</v>
      </c>
      <c r="Z53" s="111">
        <f>X53-Y53</f>
        <v>0.26599999999999996</v>
      </c>
      <c r="AA53" s="106">
        <f t="shared" si="53"/>
        <v>11</v>
      </c>
      <c r="AB53" s="110" t="str">
        <f t="shared" si="54"/>
        <v>&lt;0.2</v>
      </c>
      <c r="AC53" s="106" t="str">
        <f t="shared" si="55"/>
        <v>&lt;0.2</v>
      </c>
      <c r="AD53" s="109">
        <f t="shared" si="56"/>
        <v>11</v>
      </c>
      <c r="AE53" s="109">
        <v>1744007</v>
      </c>
      <c r="AF53" s="106">
        <f t="shared" si="57"/>
        <v>8.6999999999999993</v>
      </c>
      <c r="AG53" s="106" t="str">
        <f t="shared" si="58"/>
        <v>&lt;0.2</v>
      </c>
      <c r="AH53" s="106" t="str">
        <f t="shared" si="59"/>
        <v>&lt;0.2</v>
      </c>
      <c r="AI53" s="308">
        <f t="shared" si="60"/>
        <v>10</v>
      </c>
    </row>
    <row r="54" spans="1:36" ht="24.95" customHeight="1" x14ac:dyDescent="0.3">
      <c r="A54" s="213" t="str">
        <f t="shared" si="61"/>
        <v>San Clemente</v>
      </c>
      <c r="B54" s="260">
        <v>1744005</v>
      </c>
      <c r="C54" s="106" t="s">
        <v>163</v>
      </c>
      <c r="D54" s="106" t="str">
        <f t="shared" si="62"/>
        <v>Segunda Deshecha</v>
      </c>
      <c r="E54" s="307">
        <f t="shared" si="63"/>
        <v>6</v>
      </c>
      <c r="F54" s="107">
        <f>VLOOKUP($B54,WaterQuality, 2, FALSE)</f>
        <v>44349.462500000001</v>
      </c>
      <c r="G54" s="111">
        <f t="shared" si="64"/>
        <v>0.09</v>
      </c>
      <c r="H54" s="109">
        <f t="shared" si="36"/>
        <v>9303</v>
      </c>
      <c r="I54" s="111">
        <f t="shared" si="37"/>
        <v>7.49</v>
      </c>
      <c r="J54" s="108">
        <f t="shared" si="38"/>
        <v>9.1999999999999993</v>
      </c>
      <c r="K54" s="110">
        <f t="shared" si="39"/>
        <v>6.96</v>
      </c>
      <c r="L54" s="109">
        <f t="shared" si="40"/>
        <v>490</v>
      </c>
      <c r="M54" s="109" t="str">
        <f t="shared" si="41"/>
        <v>&gt;=6100</v>
      </c>
      <c r="N54" s="108">
        <f t="shared" si="42"/>
        <v>2.4</v>
      </c>
      <c r="O54" s="108">
        <f t="shared" si="43"/>
        <v>3.4</v>
      </c>
      <c r="P54" s="216">
        <f t="shared" si="44"/>
        <v>5.8</v>
      </c>
      <c r="Q54" s="111">
        <f t="shared" si="45"/>
        <v>0.55473684210526308</v>
      </c>
      <c r="R54" s="106" t="str">
        <f t="shared" si="46"/>
        <v>&lt;0.05</v>
      </c>
      <c r="S54" s="110">
        <f t="shared" si="65"/>
        <v>0.37</v>
      </c>
      <c r="T54" s="110">
        <f t="shared" si="47"/>
        <v>3.8</v>
      </c>
      <c r="U54" s="109">
        <f t="shared" si="48"/>
        <v>2030</v>
      </c>
      <c r="V54" s="217">
        <f t="shared" si="49"/>
        <v>110</v>
      </c>
      <c r="W54" s="218">
        <f t="shared" si="50"/>
        <v>700</v>
      </c>
      <c r="X54" s="106">
        <f t="shared" si="51"/>
        <v>0.8</v>
      </c>
      <c r="Y54" s="106" t="str">
        <f t="shared" si="52"/>
        <v>&lt;0.02</v>
      </c>
      <c r="Z54" s="111" t="s">
        <v>165</v>
      </c>
      <c r="AA54" s="106">
        <f t="shared" si="53"/>
        <v>4.3</v>
      </c>
      <c r="AB54" s="110" t="str">
        <f t="shared" si="54"/>
        <v>&lt;0.2</v>
      </c>
      <c r="AC54" s="106" t="str">
        <f t="shared" si="55"/>
        <v>&lt;0.2</v>
      </c>
      <c r="AD54" s="109">
        <f t="shared" si="56"/>
        <v>290</v>
      </c>
      <c r="AE54" s="109">
        <v>1744011</v>
      </c>
      <c r="AF54" s="106">
        <f t="shared" si="57"/>
        <v>4.7</v>
      </c>
      <c r="AG54" s="106" t="str">
        <f t="shared" si="58"/>
        <v>&lt;0.2</v>
      </c>
      <c r="AH54" s="106" t="str">
        <f t="shared" si="59"/>
        <v>&lt;0.2</v>
      </c>
      <c r="AI54" s="308">
        <f t="shared" si="60"/>
        <v>270</v>
      </c>
    </row>
    <row r="55" spans="1:36" ht="24.95" customHeight="1" x14ac:dyDescent="0.3">
      <c r="A55" s="213" t="str">
        <f t="shared" si="61"/>
        <v>San Clemente</v>
      </c>
      <c r="B55" s="260">
        <v>1744006</v>
      </c>
      <c r="C55" s="106" t="s">
        <v>166</v>
      </c>
      <c r="D55" s="106" t="str">
        <f t="shared" si="62"/>
        <v>Segunda Deshecha</v>
      </c>
      <c r="E55" s="307">
        <f t="shared" si="63"/>
        <v>6</v>
      </c>
      <c r="F55" s="107">
        <f>VLOOKUP($B55,WaterQuality, 2, FALSE)</f>
        <v>44349.46875</v>
      </c>
      <c r="G55" s="111">
        <f t="shared" si="64"/>
        <v>0.32270588235294118</v>
      </c>
      <c r="H55" s="109">
        <f t="shared" si="36"/>
        <v>2067.5</v>
      </c>
      <c r="I55" s="111">
        <f t="shared" si="37"/>
        <v>8.5</v>
      </c>
      <c r="J55" s="108">
        <f t="shared" si="38"/>
        <v>2.6</v>
      </c>
      <c r="K55" s="110">
        <f t="shared" si="39"/>
        <v>8.01</v>
      </c>
      <c r="L55" s="109">
        <f t="shared" si="40"/>
        <v>2600</v>
      </c>
      <c r="M55" s="109" t="str">
        <f t="shared" si="41"/>
        <v>&gt;=12900</v>
      </c>
      <c r="N55" s="108">
        <f t="shared" si="42"/>
        <v>6.6</v>
      </c>
      <c r="O55" s="108">
        <f t="shared" si="43"/>
        <v>4.2</v>
      </c>
      <c r="P55" s="235">
        <f t="shared" si="44"/>
        <v>10.8</v>
      </c>
      <c r="Q55" s="111">
        <f t="shared" si="45"/>
        <v>0.58736842105263165</v>
      </c>
      <c r="R55" s="106" t="str">
        <f t="shared" si="46"/>
        <v>&lt;0.05</v>
      </c>
      <c r="S55" s="110">
        <f t="shared" si="65"/>
        <v>0.12</v>
      </c>
      <c r="T55" s="110">
        <f t="shared" si="47"/>
        <v>2.1000000000000001E-2</v>
      </c>
      <c r="U55" s="109">
        <f t="shared" si="48"/>
        <v>547</v>
      </c>
      <c r="V55" s="106">
        <f t="shared" si="49"/>
        <v>1.1000000000000001</v>
      </c>
      <c r="W55" s="108">
        <f t="shared" si="50"/>
        <v>9.9</v>
      </c>
      <c r="X55" s="106">
        <f t="shared" si="51"/>
        <v>0.35</v>
      </c>
      <c r="Y55" s="106">
        <f t="shared" si="52"/>
        <v>0.11</v>
      </c>
      <c r="Z55" s="106">
        <f>X55-Y55</f>
        <v>0.24</v>
      </c>
      <c r="AA55" s="106">
        <f t="shared" si="53"/>
        <v>6.1</v>
      </c>
      <c r="AB55" s="110" t="str">
        <f t="shared" si="54"/>
        <v>&lt;0.2</v>
      </c>
      <c r="AC55" s="106" t="str">
        <f t="shared" si="55"/>
        <v>&lt;0.2</v>
      </c>
      <c r="AD55" s="109">
        <f t="shared" si="56"/>
        <v>13</v>
      </c>
      <c r="AE55" s="108">
        <v>1744012</v>
      </c>
      <c r="AF55" s="106">
        <f t="shared" si="57"/>
        <v>5.6</v>
      </c>
      <c r="AG55" s="106" t="str">
        <f t="shared" si="58"/>
        <v>&lt;0.2</v>
      </c>
      <c r="AH55" s="106" t="str">
        <f t="shared" si="59"/>
        <v>&lt;0.2</v>
      </c>
      <c r="AI55" s="308">
        <f t="shared" si="60"/>
        <v>26</v>
      </c>
    </row>
    <row r="56" spans="1:36" ht="24.95" customHeight="1" x14ac:dyDescent="0.3">
      <c r="A56" s="213" t="str">
        <f t="shared" si="61"/>
        <v>San Juan Capistrano</v>
      </c>
      <c r="B56" s="263">
        <v>1727003</v>
      </c>
      <c r="C56" s="106" t="s">
        <v>167</v>
      </c>
      <c r="D56" s="106" t="str">
        <f t="shared" si="62"/>
        <v xml:space="preserve">San Juan Creek </v>
      </c>
      <c r="E56" s="307" t="s">
        <v>231</v>
      </c>
      <c r="F56" s="107">
        <v>44348.370833333334</v>
      </c>
      <c r="G56" s="111">
        <f t="shared" si="64"/>
        <v>0</v>
      </c>
      <c r="H56" s="272"/>
      <c r="I56" s="274"/>
      <c r="J56" s="271"/>
      <c r="K56" s="271"/>
      <c r="L56" s="272"/>
      <c r="M56" s="272"/>
      <c r="N56" s="271"/>
      <c r="O56" s="271"/>
      <c r="P56" s="276"/>
      <c r="Q56" s="274"/>
      <c r="R56" s="275"/>
      <c r="S56" s="273"/>
      <c r="T56" s="273"/>
      <c r="U56" s="272"/>
      <c r="V56" s="275"/>
      <c r="W56" s="271"/>
      <c r="X56" s="275"/>
      <c r="Y56" s="275"/>
      <c r="Z56" s="275"/>
      <c r="AA56" s="275"/>
      <c r="AB56" s="273"/>
      <c r="AC56" s="275"/>
      <c r="AD56" s="272"/>
      <c r="AE56" s="271"/>
      <c r="AF56" s="275"/>
      <c r="AG56" s="275"/>
      <c r="AH56" s="275"/>
      <c r="AI56" s="310"/>
    </row>
    <row r="57" spans="1:36" ht="24.95" customHeight="1" x14ac:dyDescent="0.3">
      <c r="A57" s="213" t="str">
        <f t="shared" si="61"/>
        <v>San Juan Capistrano</v>
      </c>
      <c r="B57" s="263">
        <v>1727004</v>
      </c>
      <c r="C57" s="106" t="s">
        <v>168</v>
      </c>
      <c r="D57" s="106" t="str">
        <f t="shared" si="62"/>
        <v xml:space="preserve">San Juan Creek </v>
      </c>
      <c r="E57" s="307" t="s">
        <v>238</v>
      </c>
      <c r="F57" s="107">
        <v>44348.416666666664</v>
      </c>
      <c r="G57" s="111">
        <f t="shared" si="64"/>
        <v>0</v>
      </c>
      <c r="H57" s="272"/>
      <c r="I57" s="274"/>
      <c r="J57" s="271"/>
      <c r="K57" s="271"/>
      <c r="L57" s="272"/>
      <c r="M57" s="272"/>
      <c r="N57" s="271"/>
      <c r="O57" s="271"/>
      <c r="P57" s="276"/>
      <c r="Q57" s="274"/>
      <c r="R57" s="275"/>
      <c r="S57" s="273"/>
      <c r="T57" s="273"/>
      <c r="U57" s="272"/>
      <c r="V57" s="275"/>
      <c r="W57" s="271"/>
      <c r="X57" s="275"/>
      <c r="Y57" s="275"/>
      <c r="Z57" s="275"/>
      <c r="AA57" s="275"/>
      <c r="AB57" s="273"/>
      <c r="AC57" s="275"/>
      <c r="AD57" s="272"/>
      <c r="AE57" s="271"/>
      <c r="AF57" s="275"/>
      <c r="AG57" s="275"/>
      <c r="AH57" s="275"/>
      <c r="AI57" s="310"/>
    </row>
    <row r="58" spans="1:36" ht="24.95" customHeight="1" x14ac:dyDescent="0.3">
      <c r="A58" s="213" t="str">
        <f t="shared" si="61"/>
        <v>San Juan Capistrano</v>
      </c>
      <c r="B58" s="260">
        <v>1727002</v>
      </c>
      <c r="C58" s="106" t="s">
        <v>170</v>
      </c>
      <c r="D58" s="106" t="str">
        <f t="shared" si="62"/>
        <v xml:space="preserve">San Juan Creek </v>
      </c>
      <c r="E58" s="307" t="s">
        <v>239</v>
      </c>
      <c r="F58" s="107">
        <f>VLOOKUP($B58,WaterQuality, 2, FALSE)</f>
        <v>44348.308333333334</v>
      </c>
      <c r="G58" s="111">
        <f t="shared" si="64"/>
        <v>5.0294117647058822E-2</v>
      </c>
      <c r="H58" s="109">
        <f>VLOOKUP($B58, WaterQuality, 117, FALSE)</f>
        <v>6216</v>
      </c>
      <c r="I58" s="111">
        <f>VLOOKUP($B58, WaterQuality, 115, FALSE)</f>
        <v>5.39</v>
      </c>
      <c r="J58" s="108">
        <f>VLOOKUP($B58,WaterQuality, 110, FALSE)</f>
        <v>1.4</v>
      </c>
      <c r="K58" s="110">
        <f>VLOOKUP($B58,WaterQuality, 116, FALSE)</f>
        <v>7.56</v>
      </c>
      <c r="L58" s="109">
        <f>VLOOKUP($B58,WaterQuality, 113, FALSE)</f>
        <v>390</v>
      </c>
      <c r="M58" s="109" t="str">
        <f>VLOOKUP($B58, WaterQuality, 114, FALSE)</f>
        <v>&gt;=109000</v>
      </c>
      <c r="N58" s="108">
        <f>VLOOKUP($B58,WaterQuality, 99, FALSE)</f>
        <v>2</v>
      </c>
      <c r="O58" s="110">
        <f>VLOOKUP($B58,WaterQuality, 100, FALSE)</f>
        <v>0.98</v>
      </c>
      <c r="P58" s="216">
        <f>N58+O58</f>
        <v>2.98</v>
      </c>
      <c r="Q58" s="111">
        <f>VLOOKUP($B58, WaterQuality, 103, FALSE)*31/95</f>
        <v>0.35894736842105263</v>
      </c>
      <c r="R58" s="106">
        <f>VLOOKUP($B58,WaterQuality, 89, FALSE)</f>
        <v>0.05</v>
      </c>
      <c r="S58" s="110">
        <f>VLOOKUP($B58,WaterQuality, 85, FALSE)/1000</f>
        <v>8.8999999999999996E-2</v>
      </c>
      <c r="T58" s="110">
        <f>VLOOKUP($B58,WaterQuality, 88, FALSE)/1000</f>
        <v>0.33</v>
      </c>
      <c r="U58" s="109">
        <f>VLOOKUP($B58,WaterQuality, 84, FALSE)</f>
        <v>2370</v>
      </c>
      <c r="V58" s="217">
        <f>VLOOKUP($B58,WaterQuality, 78, FALSE)</f>
        <v>5.8</v>
      </c>
      <c r="W58" s="109">
        <f>VLOOKUP($B58,WaterQuality, 91, FALSE)</f>
        <v>61</v>
      </c>
      <c r="X58" s="106">
        <f>VLOOKUP($B58,WaterQuality, 81, FALSE)</f>
        <v>0.35</v>
      </c>
      <c r="Y58" s="106" t="str">
        <f>VLOOKUP($B58,WaterQuality, 80, FALSE)</f>
        <v>&lt;0.02</v>
      </c>
      <c r="Z58" s="106" t="s">
        <v>172</v>
      </c>
      <c r="AA58" s="106">
        <f>VLOOKUP($B58,WaterQuality, 82, FALSE)</f>
        <v>4.3</v>
      </c>
      <c r="AB58" s="110" t="str">
        <f>VLOOKUP($B58,WaterQuality, 86, FALSE)</f>
        <v>&lt;0.2</v>
      </c>
      <c r="AC58" s="106" t="str">
        <f>VLOOKUP($B58,WaterQuality, 93, FALSE)</f>
        <v>&lt;0.2</v>
      </c>
      <c r="AD58" s="109">
        <f>VLOOKUP($B58,WaterQuality, 96, FALSE)</f>
        <v>16</v>
      </c>
      <c r="AE58" s="109">
        <v>1727007</v>
      </c>
      <c r="AF58" s="106">
        <f>VLOOKUP($AE58,WaterQuality, 82, FALSE)</f>
        <v>3.5</v>
      </c>
      <c r="AG58" s="106" t="str">
        <f>VLOOKUP($AE58,WaterQuality, 86, FALSE)</f>
        <v>&lt;0.2</v>
      </c>
      <c r="AH58" s="106" t="str">
        <f>VLOOKUP($AE58,WaterQuality, 93, FALSE)</f>
        <v>&lt;0.2</v>
      </c>
      <c r="AI58" s="308">
        <f>VLOOKUP($AE58,WaterQuality, 96, FALSE)</f>
        <v>12</v>
      </c>
    </row>
    <row r="59" spans="1:36" ht="24.95" customHeight="1" x14ac:dyDescent="0.3">
      <c r="A59" s="213" t="str">
        <f t="shared" si="61"/>
        <v>San Juan Capistrano</v>
      </c>
      <c r="B59" s="260">
        <v>1727001</v>
      </c>
      <c r="C59" s="106" t="s">
        <v>173</v>
      </c>
      <c r="D59" s="106" t="str">
        <f t="shared" si="62"/>
        <v xml:space="preserve">Arroyo Trabuco </v>
      </c>
      <c r="E59" s="307">
        <f>VLOOKUP(D59, BU, 2, FALSE)</f>
        <v>7</v>
      </c>
      <c r="F59" s="107">
        <f>VLOOKUP($B59,WaterQuality, 2, FALSE)</f>
        <v>44348.347222222219</v>
      </c>
      <c r="G59" s="111">
        <f t="shared" si="64"/>
        <v>3.8999999999999994E-3</v>
      </c>
      <c r="H59" s="109">
        <f>VLOOKUP($B59, WaterQuality, 117, FALSE)</f>
        <v>1139</v>
      </c>
      <c r="I59" s="124">
        <f>VLOOKUP($B59, WaterQuality, 115, FALSE)</f>
        <v>6.47</v>
      </c>
      <c r="J59" s="108">
        <f>VLOOKUP($B59,WaterQuality, 110, FALSE)</f>
        <v>1.9</v>
      </c>
      <c r="K59" s="110">
        <f>VLOOKUP($B59,WaterQuality, 116, FALSE)</f>
        <v>7.75</v>
      </c>
      <c r="L59" s="109">
        <f>VLOOKUP($B59,WaterQuality, 113, FALSE)</f>
        <v>2000</v>
      </c>
      <c r="M59" s="109" t="str">
        <f>VLOOKUP($B59, WaterQuality, 114, FALSE)</f>
        <v>&gt;=36000</v>
      </c>
      <c r="N59" s="110">
        <f>VLOOKUP($B59,WaterQuality, 99, FALSE)</f>
        <v>0.49</v>
      </c>
      <c r="O59" s="108">
        <f>VLOOKUP($B59,WaterQuality, 100, FALSE)</f>
        <v>1.3</v>
      </c>
      <c r="P59" s="216">
        <f>N59+O59</f>
        <v>1.79</v>
      </c>
      <c r="Q59" s="111">
        <f>VLOOKUP($B59, WaterQuality, 103, FALSE)*31/95</f>
        <v>0.42421052631578954</v>
      </c>
      <c r="R59" s="106">
        <f>VLOOKUP($B59,WaterQuality, 89, FALSE)</f>
        <v>0.12</v>
      </c>
      <c r="S59" s="110">
        <f>VLOOKUP($B59,WaterQuality, 85, FALSE)/1000</f>
        <v>0.23</v>
      </c>
      <c r="T59" s="110">
        <f>VLOOKUP($B59,WaterQuality, 88, FALSE)/1000</f>
        <v>2.9000000000000001E-2</v>
      </c>
      <c r="U59" s="109">
        <f>VLOOKUP($B59,WaterQuality, 84, FALSE)</f>
        <v>324</v>
      </c>
      <c r="V59" s="106" t="str">
        <f>VLOOKUP($B59,WaterQuality, 78, FALSE)</f>
        <v>&lt;0.2</v>
      </c>
      <c r="W59" s="108">
        <f>VLOOKUP($B59,WaterQuality, 91, FALSE)</f>
        <v>2</v>
      </c>
      <c r="X59" s="106">
        <f>VLOOKUP($B59,WaterQuality, 81, FALSE)</f>
        <v>0.28000000000000003</v>
      </c>
      <c r="Y59" s="106" t="str">
        <f>VLOOKUP($B59,WaterQuality, 80, FALSE)</f>
        <v>&lt;0.02</v>
      </c>
      <c r="Z59" s="111">
        <f>X59</f>
        <v>0.28000000000000003</v>
      </c>
      <c r="AA59" s="106">
        <f>VLOOKUP($B59,WaterQuality, 82, FALSE)</f>
        <v>3.7</v>
      </c>
      <c r="AB59" s="110" t="str">
        <f>VLOOKUP($B59,WaterQuality, 86, FALSE)</f>
        <v>&lt;0.2</v>
      </c>
      <c r="AC59" s="106" t="str">
        <f>VLOOKUP($B59,WaterQuality, 93, FALSE)</f>
        <v>&lt;0.2</v>
      </c>
      <c r="AD59" s="109">
        <f>VLOOKUP($B59,WaterQuality, 96, FALSE)</f>
        <v>13</v>
      </c>
      <c r="AE59" s="109">
        <v>1727006</v>
      </c>
      <c r="AF59" s="106">
        <f>VLOOKUP($AE59,WaterQuality, 82, FALSE)</f>
        <v>3.2</v>
      </c>
      <c r="AG59" s="106" t="str">
        <f>VLOOKUP($AE59,WaterQuality, 86, FALSE)</f>
        <v>&lt;0.2</v>
      </c>
      <c r="AH59" s="106" t="str">
        <f>VLOOKUP($AE59,WaterQuality, 93, FALSE)</f>
        <v>&lt;0.2</v>
      </c>
      <c r="AI59" s="308" t="str">
        <f>VLOOKUP($AE59,WaterQuality, 96, FALSE)</f>
        <v>&lt;10</v>
      </c>
      <c r="AJ59" s="171"/>
    </row>
    <row r="60" spans="1:36" ht="24.95" customHeight="1" x14ac:dyDescent="0.3">
      <c r="A60" s="313" t="str">
        <f t="shared" si="61"/>
        <v>San Juan Capistrano</v>
      </c>
      <c r="B60" s="270">
        <v>1727005</v>
      </c>
      <c r="C60" s="130" t="s">
        <v>175</v>
      </c>
      <c r="D60" s="130" t="str">
        <f t="shared" si="62"/>
        <v xml:space="preserve">San Juan Creek </v>
      </c>
      <c r="E60" s="314">
        <f>VLOOKUP(D60, BU, 2, FALSE)</f>
        <v>7</v>
      </c>
      <c r="F60" s="219">
        <f>VLOOKUP($B60,WaterQuality, 2, FALSE)</f>
        <v>44348.398611111108</v>
      </c>
      <c r="G60" s="129">
        <f t="shared" si="64"/>
        <v>5.1333333333333342E-2</v>
      </c>
      <c r="H60" s="127">
        <f>VLOOKUP($B60, WaterQuality, 117, FALSE)</f>
        <v>3353</v>
      </c>
      <c r="I60" s="129">
        <f>VLOOKUP($B60, WaterQuality, 115, FALSE)</f>
        <v>11.06</v>
      </c>
      <c r="J60" s="128">
        <f>VLOOKUP($B60,WaterQuality, 110, FALSE)</f>
        <v>0.91</v>
      </c>
      <c r="K60" s="357">
        <f>VLOOKUP($B60,WaterQuality, 116, FALSE)</f>
        <v>8.5399999999999991</v>
      </c>
      <c r="L60" s="127">
        <f>VLOOKUP($B60,WaterQuality, 113, FALSE)</f>
        <v>1090</v>
      </c>
      <c r="M60" s="127" t="str">
        <f>VLOOKUP($B60, WaterQuality, 114, FALSE)</f>
        <v>&gt;=2900</v>
      </c>
      <c r="N60" s="126">
        <f>VLOOKUP($B60,WaterQuality, 99, FALSE)</f>
        <v>4.4000000000000004</v>
      </c>
      <c r="O60" s="128">
        <f>VLOOKUP($B60,WaterQuality, 100, FALSE)</f>
        <v>0.65</v>
      </c>
      <c r="P60" s="315">
        <f>N60+O60</f>
        <v>5.0500000000000007</v>
      </c>
      <c r="Q60" s="129">
        <f>VLOOKUP($B60, WaterQuality, 103, FALSE)*31/95</f>
        <v>0.23821052631578946</v>
      </c>
      <c r="R60" s="130" t="str">
        <f>VLOOKUP($B60,WaterQuality, 89, FALSE)</f>
        <v>&lt;0.05</v>
      </c>
      <c r="S60" s="128">
        <f>VLOOKUP($B60,WaterQuality, 85, FALSE)/1000</f>
        <v>2.9000000000000001E-2</v>
      </c>
      <c r="T60" s="128">
        <f>VLOOKUP($B60,WaterQuality, 88, FALSE)/1000</f>
        <v>1.1000000000000001E-3</v>
      </c>
      <c r="U60" s="127">
        <f>VLOOKUP($B60,WaterQuality, 84, FALSE)</f>
        <v>688</v>
      </c>
      <c r="V60" s="130" t="str">
        <f>VLOOKUP($B60,WaterQuality, 78, FALSE)</f>
        <v>&lt;0.2</v>
      </c>
      <c r="W60" s="126" t="str">
        <f>VLOOKUP($B60,WaterQuality, 91, FALSE)</f>
        <v>&lt;2</v>
      </c>
      <c r="X60" s="130">
        <f>VLOOKUP($B60,WaterQuality, 81, FALSE)</f>
        <v>0.44</v>
      </c>
      <c r="Y60" s="130">
        <f>VLOOKUP($B60,WaterQuality, 80, FALSE)</f>
        <v>0.25</v>
      </c>
      <c r="Z60" s="130">
        <f>X60-Y60</f>
        <v>0.19</v>
      </c>
      <c r="AA60" s="220">
        <f>VLOOKUP($B60,WaterQuality, 82, FALSE)</f>
        <v>3</v>
      </c>
      <c r="AB60" s="128" t="str">
        <f>VLOOKUP($B60,WaterQuality, 86, FALSE)</f>
        <v>&lt;0.2</v>
      </c>
      <c r="AC60" s="130" t="str">
        <f>VLOOKUP($B60,WaterQuality, 93, FALSE)</f>
        <v>&lt;0.2</v>
      </c>
      <c r="AD60" s="127" t="str">
        <f>VLOOKUP($B60,WaterQuality, 96, FALSE)</f>
        <v>&lt;10</v>
      </c>
      <c r="AE60" s="127">
        <v>1727010</v>
      </c>
      <c r="AF60" s="130">
        <f>VLOOKUP($AE60,WaterQuality, 82, FALSE)</f>
        <v>3.1</v>
      </c>
      <c r="AG60" s="130" t="str">
        <f>VLOOKUP($AE60,WaterQuality, 86, FALSE)</f>
        <v>&lt;0.2</v>
      </c>
      <c r="AH60" s="130" t="str">
        <f>VLOOKUP($AE60,WaterQuality, 93, FALSE)</f>
        <v>&lt;0.2</v>
      </c>
      <c r="AI60" s="316" t="str">
        <f>VLOOKUP($AE60,WaterQuality, 96, FALSE)</f>
        <v>&lt;10</v>
      </c>
    </row>
    <row r="61" spans="1:36" ht="24.95" customHeight="1" x14ac:dyDescent="0.3">
      <c r="A61" s="182"/>
      <c r="B61" s="182"/>
      <c r="C61" s="183"/>
      <c r="D61" s="184"/>
      <c r="E61" s="185"/>
      <c r="F61" s="186"/>
      <c r="G61" s="224"/>
      <c r="H61" s="187"/>
      <c r="I61" s="188"/>
      <c r="J61" s="189"/>
      <c r="K61" s="190"/>
      <c r="L61" s="187"/>
      <c r="M61" s="187"/>
      <c r="N61" s="191"/>
      <c r="O61" s="191"/>
      <c r="P61" s="192"/>
      <c r="Q61" s="193"/>
      <c r="R61" s="191"/>
      <c r="S61" s="190"/>
      <c r="T61" s="190"/>
      <c r="U61" s="187"/>
      <c r="V61" s="190"/>
      <c r="W61" s="187"/>
      <c r="X61" s="184"/>
      <c r="Y61" s="194"/>
      <c r="Z61" s="184"/>
      <c r="AA61" s="184"/>
      <c r="AB61" s="184"/>
      <c r="AC61" s="184"/>
      <c r="AD61" s="184"/>
      <c r="AE61" s="184"/>
      <c r="AF61" s="184"/>
      <c r="AG61" s="184"/>
      <c r="AH61" s="184"/>
      <c r="AI61" s="184"/>
      <c r="AJ61" s="173"/>
    </row>
    <row r="62" spans="1:36" ht="24.95" customHeight="1" x14ac:dyDescent="0.3">
      <c r="D62" s="417" t="s">
        <v>176</v>
      </c>
      <c r="E62" s="417"/>
      <c r="F62" s="417"/>
      <c r="G62" s="195"/>
      <c r="H62" s="195"/>
      <c r="I62" s="188"/>
      <c r="J62" s="188"/>
      <c r="K62" s="188"/>
      <c r="L62" s="188"/>
      <c r="M62" s="188"/>
      <c r="N62" s="188"/>
      <c r="O62" s="188"/>
      <c r="P62" s="196"/>
      <c r="Q62" s="197"/>
      <c r="R62" s="188"/>
      <c r="S62" s="188"/>
      <c r="T62" s="198"/>
      <c r="U62" s="198"/>
      <c r="V62" s="188"/>
      <c r="W62" s="188"/>
      <c r="X62" s="184"/>
      <c r="Y62" s="184"/>
      <c r="Z62" s="184"/>
      <c r="AA62" s="184"/>
      <c r="AB62" s="184"/>
      <c r="AC62" s="184"/>
      <c r="AD62" s="184"/>
      <c r="AE62" s="184"/>
      <c r="AF62" s="184"/>
      <c r="AG62" s="184"/>
      <c r="AH62" s="184"/>
      <c r="AI62" s="184"/>
    </row>
    <row r="63" spans="1:36" s="174" customFormat="1" ht="24.95" customHeight="1" x14ac:dyDescent="0.3">
      <c r="C63" s="199">
        <v>1</v>
      </c>
      <c r="D63" s="200" t="s">
        <v>240</v>
      </c>
      <c r="F63" s="202"/>
      <c r="G63" s="201"/>
      <c r="H63" s="201"/>
      <c r="I63" s="201"/>
      <c r="J63" s="201"/>
      <c r="K63" s="201"/>
      <c r="L63" s="201"/>
      <c r="M63" s="201"/>
      <c r="N63" s="201"/>
      <c r="O63" s="201"/>
      <c r="P63" s="203"/>
      <c r="Q63" s="204"/>
      <c r="R63" s="201"/>
      <c r="S63" s="201"/>
      <c r="T63" s="201"/>
      <c r="U63" s="201"/>
      <c r="V63" s="201"/>
      <c r="W63" s="201"/>
      <c r="X63" s="201"/>
      <c r="Y63" s="201"/>
      <c r="Z63" s="201"/>
      <c r="AA63" s="201"/>
      <c r="AB63" s="201"/>
      <c r="AC63" s="201"/>
      <c r="AD63" s="201"/>
      <c r="AE63" s="201"/>
      <c r="AF63" s="201"/>
      <c r="AG63" s="201"/>
      <c r="AH63" s="201"/>
      <c r="AI63" s="201"/>
    </row>
    <row r="64" spans="1:36" ht="24.95" customHeight="1" x14ac:dyDescent="0.3">
      <c r="C64" s="199">
        <v>2</v>
      </c>
      <c r="D64" s="200" t="s">
        <v>241</v>
      </c>
      <c r="F64" s="202"/>
      <c r="G64" s="201"/>
      <c r="H64" s="201"/>
      <c r="I64" s="201"/>
      <c r="J64" s="201"/>
      <c r="K64" s="201"/>
      <c r="L64" s="201"/>
      <c r="M64" s="201"/>
      <c r="N64" s="201"/>
      <c r="O64" s="201"/>
      <c r="P64" s="203"/>
      <c r="Q64" s="204"/>
      <c r="R64" s="201"/>
      <c r="S64" s="201"/>
      <c r="T64" s="201"/>
      <c r="U64" s="201"/>
      <c r="V64" s="201"/>
      <c r="W64" s="201"/>
      <c r="X64" s="201"/>
      <c r="Y64" s="201"/>
      <c r="Z64" s="201"/>
      <c r="AA64" s="201"/>
      <c r="AB64" s="201"/>
      <c r="AC64" s="201"/>
      <c r="AD64" s="201"/>
      <c r="AE64" s="201"/>
      <c r="AF64" s="201"/>
      <c r="AG64" s="201"/>
      <c r="AH64" s="201"/>
      <c r="AI64" s="201"/>
    </row>
    <row r="65" spans="3:35" ht="24.95" customHeight="1" x14ac:dyDescent="0.3">
      <c r="C65" s="199">
        <v>3</v>
      </c>
      <c r="D65" s="200" t="s">
        <v>242</v>
      </c>
      <c r="F65" s="202"/>
      <c r="G65" s="205"/>
      <c r="H65" s="205"/>
      <c r="I65" s="205"/>
      <c r="J65" s="205"/>
      <c r="K65" s="205"/>
      <c r="L65" s="205"/>
      <c r="M65" s="205"/>
      <c r="N65" s="205"/>
      <c r="O65" s="205"/>
      <c r="P65" s="206"/>
      <c r="Q65" s="207"/>
      <c r="R65" s="205"/>
      <c r="S65" s="205"/>
      <c r="T65" s="205"/>
      <c r="U65" s="205"/>
      <c r="V65" s="205"/>
      <c r="W65" s="205"/>
      <c r="X65" s="205"/>
      <c r="Y65" s="205"/>
      <c r="Z65" s="205"/>
      <c r="AA65" s="205"/>
      <c r="AB65" s="205"/>
      <c r="AC65" s="205"/>
      <c r="AD65" s="205"/>
      <c r="AE65" s="205"/>
      <c r="AF65" s="205"/>
      <c r="AG65" s="205"/>
      <c r="AH65" s="205"/>
      <c r="AI65" s="201"/>
    </row>
    <row r="66" spans="3:35" ht="24.95" customHeight="1" x14ac:dyDescent="0.3">
      <c r="C66" s="199">
        <v>4</v>
      </c>
      <c r="D66" s="208" t="s">
        <v>192</v>
      </c>
      <c r="F66" s="202"/>
      <c r="G66" s="205"/>
      <c r="H66" s="205"/>
      <c r="I66" s="205"/>
      <c r="J66" s="205"/>
      <c r="K66" s="205"/>
      <c r="L66" s="205"/>
      <c r="M66" s="205"/>
      <c r="N66" s="205"/>
      <c r="O66" s="205"/>
      <c r="P66" s="206"/>
      <c r="Q66" s="207"/>
      <c r="R66" s="205"/>
      <c r="S66" s="205"/>
      <c r="T66" s="205"/>
      <c r="U66" s="205"/>
      <c r="V66" s="205"/>
      <c r="W66" s="205"/>
      <c r="X66" s="205"/>
      <c r="Y66" s="205"/>
      <c r="Z66" s="205"/>
      <c r="AA66" s="205"/>
      <c r="AB66" s="205"/>
      <c r="AC66" s="205"/>
      <c r="AD66" s="205"/>
      <c r="AE66" s="205"/>
      <c r="AF66" s="205"/>
      <c r="AG66" s="205"/>
      <c r="AH66" s="205"/>
      <c r="AI66" s="201"/>
    </row>
    <row r="67" spans="3:35" ht="24.95" customHeight="1" x14ac:dyDescent="0.3">
      <c r="C67" s="199">
        <v>5</v>
      </c>
      <c r="D67" s="201" t="s">
        <v>243</v>
      </c>
      <c r="F67" s="202"/>
      <c r="G67" s="205"/>
      <c r="H67" s="205"/>
      <c r="I67" s="205"/>
      <c r="J67" s="205"/>
      <c r="K67" s="205"/>
      <c r="L67" s="205"/>
      <c r="M67" s="205"/>
      <c r="N67" s="205"/>
      <c r="O67" s="205"/>
      <c r="P67" s="206"/>
      <c r="Q67" s="207"/>
      <c r="R67" s="205"/>
      <c r="S67" s="205"/>
      <c r="T67" s="205"/>
      <c r="U67" s="205"/>
      <c r="V67" s="205"/>
      <c r="W67" s="205"/>
      <c r="X67" s="205"/>
      <c r="Y67" s="205"/>
      <c r="Z67" s="205"/>
      <c r="AA67" s="205"/>
      <c r="AB67" s="205"/>
      <c r="AC67" s="205"/>
      <c r="AD67" s="205"/>
      <c r="AE67" s="205"/>
      <c r="AF67" s="205"/>
      <c r="AG67" s="205"/>
      <c r="AH67" s="205"/>
      <c r="AI67" s="201"/>
    </row>
    <row r="68" spans="3:35" ht="24.95" customHeight="1" x14ac:dyDescent="0.3">
      <c r="C68" s="199">
        <v>6</v>
      </c>
      <c r="D68" s="201" t="s">
        <v>244</v>
      </c>
      <c r="F68" s="202"/>
      <c r="G68" s="205"/>
      <c r="H68" s="205"/>
      <c r="I68" s="205"/>
      <c r="J68" s="205"/>
      <c r="K68" s="205"/>
      <c r="L68" s="205"/>
      <c r="M68" s="205"/>
      <c r="N68" s="205"/>
      <c r="O68" s="205"/>
      <c r="P68" s="206"/>
      <c r="Q68" s="207"/>
      <c r="R68" s="205"/>
      <c r="S68" s="205"/>
      <c r="T68" s="205"/>
      <c r="U68" s="205"/>
      <c r="V68" s="205"/>
      <c r="W68" s="205"/>
      <c r="X68" s="205"/>
      <c r="Y68" s="205"/>
      <c r="Z68" s="205"/>
      <c r="AA68" s="205"/>
      <c r="AB68" s="205"/>
      <c r="AC68" s="205"/>
      <c r="AD68" s="205"/>
      <c r="AE68" s="205"/>
      <c r="AF68" s="205"/>
      <c r="AG68" s="205"/>
      <c r="AH68" s="205"/>
      <c r="AI68" s="201"/>
    </row>
    <row r="69" spans="3:35" ht="24.95" customHeight="1" x14ac:dyDescent="0.3">
      <c r="C69" s="199">
        <v>7</v>
      </c>
      <c r="D69" s="200" t="s">
        <v>245</v>
      </c>
      <c r="F69" s="202"/>
      <c r="G69" s="205"/>
      <c r="H69" s="205"/>
      <c r="I69" s="205"/>
      <c r="J69" s="205"/>
      <c r="K69" s="205"/>
      <c r="L69" s="205"/>
      <c r="M69" s="205"/>
      <c r="N69" s="205"/>
      <c r="O69" s="205"/>
      <c r="P69" s="206"/>
      <c r="Q69" s="207"/>
      <c r="R69" s="205"/>
      <c r="S69" s="205"/>
      <c r="T69" s="205"/>
      <c r="U69" s="205"/>
      <c r="V69" s="205"/>
      <c r="W69" s="205"/>
      <c r="X69" s="205"/>
      <c r="Y69" s="205"/>
      <c r="Z69" s="205"/>
      <c r="AA69" s="205"/>
      <c r="AB69" s="205"/>
      <c r="AC69" s="205"/>
      <c r="AD69" s="205"/>
      <c r="AE69" s="205"/>
      <c r="AF69" s="205"/>
      <c r="AG69" s="205"/>
      <c r="AH69" s="205"/>
      <c r="AI69" s="201"/>
    </row>
    <row r="70" spans="3:35" ht="24.95" customHeight="1" x14ac:dyDescent="0.3">
      <c r="C70" s="199"/>
      <c r="D70" s="199"/>
      <c r="E70" s="200"/>
      <c r="F70" s="202"/>
      <c r="G70" s="205"/>
      <c r="H70" s="205"/>
      <c r="I70" s="205"/>
      <c r="J70" s="205"/>
      <c r="K70" s="205"/>
      <c r="L70" s="205"/>
      <c r="M70" s="205"/>
      <c r="N70" s="205"/>
      <c r="O70" s="205"/>
      <c r="P70" s="206"/>
      <c r="Q70" s="207"/>
      <c r="R70" s="205"/>
      <c r="S70" s="205"/>
      <c r="T70" s="205"/>
      <c r="U70" s="205"/>
      <c r="V70" s="205"/>
      <c r="W70" s="205"/>
      <c r="X70" s="205"/>
      <c r="Y70" s="205"/>
      <c r="Z70" s="205"/>
      <c r="AA70" s="205"/>
      <c r="AB70" s="205"/>
      <c r="AC70" s="205"/>
      <c r="AD70" s="205"/>
      <c r="AE70" s="205"/>
      <c r="AF70" s="205"/>
      <c r="AG70" s="205"/>
      <c r="AH70" s="205"/>
      <c r="AI70" s="201"/>
    </row>
    <row r="71" spans="3:35" ht="24.95" customHeight="1" x14ac:dyDescent="0.3">
      <c r="C71" s="147" t="s">
        <v>135</v>
      </c>
      <c r="D71" s="146" t="s">
        <v>179</v>
      </c>
      <c r="E71" s="200"/>
      <c r="F71" s="202"/>
      <c r="G71" s="205"/>
      <c r="H71" s="205"/>
      <c r="I71" s="205"/>
      <c r="J71" s="205"/>
      <c r="K71" s="205"/>
      <c r="L71" s="205"/>
      <c r="M71" s="205"/>
      <c r="N71" s="205"/>
      <c r="O71" s="205"/>
      <c r="P71" s="206"/>
      <c r="Q71" s="207"/>
      <c r="R71" s="205"/>
      <c r="S71" s="205"/>
      <c r="T71" s="205"/>
      <c r="U71" s="205"/>
      <c r="V71" s="205"/>
      <c r="W71" s="205"/>
      <c r="X71" s="205"/>
      <c r="Y71" s="205"/>
      <c r="Z71" s="205"/>
      <c r="AA71" s="205"/>
      <c r="AB71" s="205"/>
      <c r="AC71" s="205"/>
      <c r="AD71" s="205"/>
      <c r="AE71" s="205"/>
      <c r="AF71" s="205"/>
      <c r="AG71" s="205"/>
      <c r="AH71" s="205"/>
      <c r="AI71" s="201"/>
    </row>
    <row r="72" spans="3:35" ht="24.95" customHeight="1" x14ac:dyDescent="0.3">
      <c r="C72" s="147" t="s">
        <v>143</v>
      </c>
      <c r="D72" s="146" t="s">
        <v>180</v>
      </c>
      <c r="E72" s="200"/>
      <c r="F72" s="202"/>
      <c r="G72" s="205"/>
      <c r="H72" s="205"/>
      <c r="I72" s="205"/>
      <c r="J72" s="205"/>
      <c r="K72" s="205"/>
      <c r="L72" s="205"/>
      <c r="M72" s="205"/>
      <c r="N72" s="205"/>
      <c r="O72" s="205"/>
      <c r="P72" s="206"/>
      <c r="Q72" s="207"/>
      <c r="R72" s="205"/>
      <c r="S72" s="205"/>
      <c r="T72" s="205"/>
      <c r="U72" s="205"/>
      <c r="V72" s="205"/>
      <c r="W72" s="205"/>
      <c r="X72" s="205"/>
      <c r="Y72" s="205"/>
      <c r="Z72" s="205"/>
      <c r="AA72" s="205"/>
      <c r="AB72" s="205"/>
      <c r="AC72" s="205"/>
      <c r="AD72" s="205"/>
      <c r="AE72" s="205"/>
      <c r="AF72" s="205"/>
      <c r="AG72" s="205"/>
      <c r="AH72" s="205"/>
      <c r="AI72" s="201"/>
    </row>
    <row r="73" spans="3:35" ht="24.95" customHeight="1" x14ac:dyDescent="0.3">
      <c r="C73" s="147" t="s">
        <v>181</v>
      </c>
      <c r="D73" s="146" t="s">
        <v>182</v>
      </c>
      <c r="E73" s="200"/>
      <c r="F73" s="202"/>
      <c r="G73" s="205"/>
      <c r="H73" s="205"/>
      <c r="I73" s="205"/>
      <c r="J73" s="205"/>
      <c r="K73" s="205"/>
      <c r="L73" s="205"/>
      <c r="M73" s="205"/>
      <c r="N73" s="205"/>
      <c r="O73" s="205"/>
      <c r="P73" s="206"/>
      <c r="Q73" s="207"/>
      <c r="R73" s="205"/>
      <c r="S73" s="205"/>
      <c r="T73" s="205"/>
      <c r="U73" s="205"/>
      <c r="V73" s="205"/>
      <c r="W73" s="205"/>
      <c r="X73" s="205"/>
      <c r="Y73" s="205"/>
      <c r="Z73" s="205"/>
      <c r="AA73" s="205"/>
      <c r="AB73" s="205"/>
      <c r="AC73" s="205"/>
      <c r="AD73" s="205"/>
      <c r="AE73" s="205"/>
      <c r="AF73" s="205"/>
      <c r="AG73" s="205"/>
      <c r="AH73" s="205"/>
      <c r="AI73" s="201"/>
    </row>
    <row r="74" spans="3:35" ht="24.95" customHeight="1" x14ac:dyDescent="0.3">
      <c r="C74" s="147" t="s">
        <v>169</v>
      </c>
      <c r="D74" s="146" t="s">
        <v>183</v>
      </c>
      <c r="E74" s="200"/>
      <c r="F74" s="202"/>
      <c r="G74" s="205"/>
      <c r="H74" s="205"/>
      <c r="I74" s="205"/>
      <c r="J74" s="205"/>
      <c r="K74" s="205"/>
      <c r="L74" s="205"/>
      <c r="M74" s="205"/>
      <c r="N74" s="205"/>
      <c r="O74" s="205"/>
      <c r="P74" s="206"/>
      <c r="Q74" s="207"/>
      <c r="R74" s="205"/>
      <c r="S74" s="205"/>
      <c r="T74" s="205"/>
      <c r="U74" s="205"/>
      <c r="V74" s="205"/>
      <c r="W74" s="205"/>
      <c r="X74" s="205"/>
      <c r="Y74" s="205"/>
      <c r="Z74" s="205"/>
      <c r="AA74" s="205"/>
      <c r="AB74" s="205"/>
      <c r="AC74" s="205"/>
      <c r="AD74" s="205"/>
      <c r="AE74" s="205"/>
      <c r="AF74" s="205"/>
      <c r="AG74" s="205"/>
      <c r="AH74" s="205"/>
      <c r="AI74" s="201"/>
    </row>
    <row r="75" spans="3:35" ht="24.95" customHeight="1" x14ac:dyDescent="0.3">
      <c r="C75" s="147" t="s">
        <v>147</v>
      </c>
      <c r="D75" s="146" t="s">
        <v>184</v>
      </c>
      <c r="E75" s="200"/>
      <c r="F75" s="202"/>
      <c r="G75" s="205"/>
      <c r="H75" s="205"/>
      <c r="I75" s="205"/>
      <c r="J75" s="205"/>
      <c r="K75" s="205"/>
      <c r="L75" s="205"/>
      <c r="M75" s="205"/>
      <c r="N75" s="205"/>
      <c r="O75" s="205"/>
      <c r="P75" s="206"/>
      <c r="Q75" s="207"/>
      <c r="R75" s="205"/>
      <c r="S75" s="205"/>
      <c r="T75" s="205"/>
      <c r="U75" s="205"/>
      <c r="V75" s="205"/>
      <c r="W75" s="205"/>
      <c r="X75" s="205"/>
      <c r="Y75" s="205"/>
      <c r="Z75" s="205"/>
      <c r="AA75" s="205"/>
      <c r="AB75" s="205"/>
      <c r="AC75" s="205"/>
      <c r="AD75" s="205"/>
      <c r="AE75" s="205"/>
      <c r="AF75" s="205"/>
      <c r="AG75" s="205"/>
      <c r="AH75" s="205"/>
      <c r="AI75" s="201"/>
    </row>
    <row r="76" spans="3:35" ht="24.95" customHeight="1" x14ac:dyDescent="0.3">
      <c r="C76" s="147" t="s">
        <v>126</v>
      </c>
      <c r="D76" s="146" t="s">
        <v>185</v>
      </c>
      <c r="E76" s="200"/>
      <c r="F76" s="202"/>
      <c r="G76" s="205"/>
      <c r="H76" s="205"/>
      <c r="I76" s="205"/>
      <c r="J76" s="205"/>
      <c r="K76" s="205"/>
      <c r="L76" s="205"/>
      <c r="M76" s="205"/>
      <c r="N76" s="205"/>
      <c r="O76" s="205"/>
      <c r="P76" s="206"/>
      <c r="Q76" s="207"/>
      <c r="R76" s="205"/>
      <c r="S76" s="205"/>
      <c r="T76" s="205"/>
      <c r="U76" s="205"/>
      <c r="V76" s="205"/>
      <c r="W76" s="205"/>
      <c r="X76" s="205"/>
      <c r="Y76" s="205"/>
      <c r="Z76" s="205"/>
      <c r="AA76" s="205"/>
      <c r="AB76" s="205"/>
      <c r="AC76" s="205"/>
      <c r="AD76" s="205"/>
      <c r="AE76" s="205"/>
      <c r="AF76" s="205"/>
      <c r="AG76" s="205"/>
      <c r="AH76" s="205"/>
      <c r="AI76" s="201"/>
    </row>
    <row r="77" spans="3:35" ht="34.5" customHeight="1" x14ac:dyDescent="0.3">
      <c r="C77" s="332" t="s">
        <v>171</v>
      </c>
      <c r="D77" s="333" t="s">
        <v>186</v>
      </c>
      <c r="E77" s="200"/>
      <c r="F77" s="202"/>
      <c r="G77" s="205"/>
      <c r="H77" s="205"/>
      <c r="I77" s="205"/>
      <c r="J77" s="205"/>
      <c r="K77" s="205"/>
      <c r="L77" s="205"/>
      <c r="M77" s="205"/>
      <c r="N77" s="205"/>
      <c r="O77" s="205"/>
      <c r="P77" s="206"/>
      <c r="Q77" s="207"/>
      <c r="R77" s="205"/>
      <c r="S77" s="205"/>
      <c r="T77" s="205"/>
      <c r="U77" s="205"/>
      <c r="V77" s="205"/>
      <c r="W77" s="205"/>
      <c r="X77" s="205"/>
      <c r="Y77" s="205"/>
      <c r="Z77" s="205"/>
      <c r="AA77" s="205"/>
      <c r="AB77" s="205"/>
      <c r="AC77" s="205"/>
      <c r="AD77" s="205"/>
      <c r="AE77" s="205"/>
      <c r="AF77" s="205"/>
      <c r="AG77" s="205"/>
      <c r="AH77" s="205"/>
      <c r="AI77" s="201"/>
    </row>
    <row r="78" spans="3:35" ht="22.5" x14ac:dyDescent="0.3">
      <c r="C78" s="147" t="s">
        <v>187</v>
      </c>
      <c r="D78" s="146" t="s">
        <v>188</v>
      </c>
      <c r="E78" s="200"/>
      <c r="F78" s="202"/>
      <c r="G78" s="205"/>
      <c r="H78" s="205"/>
      <c r="I78" s="205"/>
      <c r="J78" s="205"/>
      <c r="K78" s="205"/>
      <c r="L78" s="205"/>
      <c r="M78" s="205"/>
      <c r="N78" s="205"/>
      <c r="O78" s="205"/>
      <c r="P78" s="206"/>
      <c r="Q78" s="207"/>
      <c r="R78" s="205"/>
      <c r="S78" s="205"/>
      <c r="T78" s="205"/>
      <c r="U78" s="205"/>
      <c r="V78" s="205"/>
      <c r="W78" s="205"/>
      <c r="X78" s="205"/>
      <c r="Y78" s="205"/>
      <c r="Z78" s="205"/>
      <c r="AA78" s="205"/>
      <c r="AB78" s="205"/>
      <c r="AC78" s="205"/>
      <c r="AD78" s="205"/>
      <c r="AE78" s="205"/>
      <c r="AF78" s="205"/>
      <c r="AG78" s="205"/>
      <c r="AH78" s="205"/>
      <c r="AI78" s="201"/>
    </row>
    <row r="79" spans="3:35" ht="24.95" customHeight="1" x14ac:dyDescent="0.3">
      <c r="C79" s="147"/>
      <c r="D79" s="146"/>
      <c r="E79" s="200"/>
      <c r="F79" s="202"/>
      <c r="G79" s="205"/>
      <c r="H79" s="205"/>
      <c r="I79" s="205"/>
      <c r="J79" s="205"/>
      <c r="K79" s="205"/>
      <c r="L79" s="205"/>
      <c r="M79" s="205"/>
      <c r="N79" s="205"/>
      <c r="O79" s="205"/>
      <c r="P79" s="206"/>
      <c r="Q79" s="207"/>
      <c r="R79" s="205"/>
      <c r="S79" s="205"/>
      <c r="T79" s="205"/>
      <c r="U79" s="205"/>
      <c r="V79" s="205"/>
      <c r="W79" s="205"/>
      <c r="X79" s="205"/>
      <c r="Y79" s="205"/>
      <c r="Z79" s="205"/>
      <c r="AA79" s="205"/>
      <c r="AB79" s="205"/>
      <c r="AC79" s="205"/>
      <c r="AD79" s="205"/>
      <c r="AE79" s="205"/>
      <c r="AF79" s="205"/>
      <c r="AG79" s="205"/>
      <c r="AH79" s="205"/>
      <c r="AI79" s="201"/>
    </row>
    <row r="80" spans="3:35" ht="24.95" customHeight="1" x14ac:dyDescent="0.3">
      <c r="C80" s="209" t="s">
        <v>120</v>
      </c>
      <c r="D80" s="210" t="s">
        <v>191</v>
      </c>
      <c r="F80" s="202"/>
      <c r="G80" s="205"/>
      <c r="H80" s="205"/>
      <c r="I80" s="205"/>
      <c r="J80" s="205"/>
      <c r="K80" s="205"/>
      <c r="L80" s="205"/>
      <c r="M80" s="205"/>
      <c r="N80" s="205"/>
      <c r="O80" s="205"/>
      <c r="P80" s="206"/>
      <c r="Q80" s="207"/>
      <c r="R80" s="205"/>
      <c r="S80" s="205"/>
      <c r="T80" s="205"/>
      <c r="U80" s="205"/>
      <c r="V80" s="205"/>
      <c r="W80" s="205"/>
      <c r="X80" s="205"/>
      <c r="Y80" s="205"/>
      <c r="Z80" s="205"/>
      <c r="AA80" s="205"/>
      <c r="AB80" s="205"/>
      <c r="AC80" s="205"/>
      <c r="AD80" s="205"/>
      <c r="AE80" s="205"/>
      <c r="AF80" s="205"/>
      <c r="AG80" s="205"/>
      <c r="AH80" s="205"/>
      <c r="AI80" s="201"/>
    </row>
    <row r="81" spans="1:12" ht="21.75" x14ac:dyDescent="0.3">
      <c r="A81" s="173"/>
      <c r="B81" s="173"/>
      <c r="C81" s="211" t="s">
        <v>246</v>
      </c>
      <c r="D81" s="200" t="s">
        <v>247</v>
      </c>
      <c r="F81" s="162"/>
    </row>
    <row r="82" spans="1:12" x14ac:dyDescent="0.25">
      <c r="A82" s="172"/>
      <c r="B82" s="172"/>
      <c r="C82" s="177"/>
      <c r="D82" s="172"/>
      <c r="E82" s="172"/>
      <c r="F82" s="172"/>
      <c r="G82" s="175"/>
      <c r="H82" s="175"/>
      <c r="I82" s="175"/>
      <c r="J82" s="175"/>
      <c r="K82" s="175"/>
      <c r="L82" s="175"/>
    </row>
    <row r="83" spans="1:12" x14ac:dyDescent="0.25">
      <c r="A83" s="172"/>
      <c r="B83" s="172"/>
      <c r="C83" s="175"/>
      <c r="D83" s="172"/>
      <c r="E83" s="172"/>
      <c r="F83" s="172"/>
      <c r="G83" s="175"/>
      <c r="H83" s="175"/>
      <c r="I83" s="175"/>
      <c r="J83" s="175"/>
      <c r="K83" s="175"/>
      <c r="L83" s="175"/>
    </row>
    <row r="84" spans="1:12" x14ac:dyDescent="0.25">
      <c r="A84" s="172"/>
      <c r="B84" s="172"/>
      <c r="C84" s="175"/>
      <c r="D84" s="172"/>
      <c r="E84" s="172"/>
      <c r="F84" s="175"/>
      <c r="G84" s="175"/>
      <c r="H84" s="175"/>
      <c r="I84" s="175"/>
      <c r="J84" s="175"/>
      <c r="K84" s="175"/>
      <c r="L84" s="175"/>
    </row>
    <row r="85" spans="1:12" x14ac:dyDescent="0.25">
      <c r="A85" s="172"/>
      <c r="B85" s="172"/>
      <c r="C85" s="175"/>
      <c r="D85" s="172"/>
      <c r="E85" s="172"/>
      <c r="F85" s="175"/>
      <c r="G85" s="175"/>
      <c r="H85" s="175"/>
      <c r="I85" s="175"/>
      <c r="J85" s="175"/>
      <c r="K85" s="175"/>
      <c r="L85" s="175"/>
    </row>
    <row r="86" spans="1:12" x14ac:dyDescent="0.25">
      <c r="A86" s="172"/>
      <c r="B86" s="172"/>
      <c r="C86" s="175"/>
      <c r="D86" s="172"/>
      <c r="E86" s="172"/>
      <c r="F86" s="172"/>
      <c r="G86" s="175"/>
      <c r="H86" s="175"/>
      <c r="I86" s="175"/>
      <c r="J86" s="175"/>
      <c r="K86" s="175"/>
      <c r="L86" s="175"/>
    </row>
    <row r="87" spans="1:12" x14ac:dyDescent="0.25">
      <c r="A87" s="172"/>
      <c r="B87" s="172"/>
      <c r="C87" s="175"/>
      <c r="D87" s="172"/>
      <c r="E87" s="172"/>
      <c r="F87" s="172"/>
      <c r="G87" s="175"/>
      <c r="H87" s="175"/>
      <c r="I87" s="175"/>
      <c r="J87" s="175"/>
      <c r="K87" s="175"/>
      <c r="L87" s="175"/>
    </row>
    <row r="88" spans="1:12" x14ac:dyDescent="0.25">
      <c r="A88" s="172"/>
      <c r="B88" s="172"/>
      <c r="C88" s="175"/>
      <c r="D88" s="172"/>
      <c r="E88" s="172"/>
      <c r="F88" s="172"/>
      <c r="G88" s="175"/>
      <c r="H88" s="175"/>
      <c r="I88" s="175"/>
      <c r="J88" s="175"/>
      <c r="K88" s="175"/>
      <c r="L88" s="175"/>
    </row>
    <row r="89" spans="1:12" x14ac:dyDescent="0.25">
      <c r="A89" s="175"/>
      <c r="B89" s="175"/>
      <c r="C89" s="175"/>
      <c r="D89" s="172"/>
      <c r="E89" s="172"/>
      <c r="F89" s="172"/>
      <c r="G89" s="175"/>
      <c r="H89" s="175"/>
      <c r="I89" s="175"/>
      <c r="J89" s="175"/>
      <c r="K89" s="175"/>
      <c r="L89" s="175"/>
    </row>
    <row r="90" spans="1:12" x14ac:dyDescent="0.25">
      <c r="A90" s="175"/>
      <c r="B90" s="175"/>
      <c r="C90" s="175"/>
      <c r="D90" s="175"/>
      <c r="E90" s="175"/>
      <c r="F90" s="175"/>
      <c r="G90" s="175"/>
      <c r="H90" s="175"/>
      <c r="I90" s="175"/>
      <c r="J90" s="175"/>
      <c r="K90" s="175"/>
      <c r="L90" s="175"/>
    </row>
    <row r="91" spans="1:12" x14ac:dyDescent="0.25">
      <c r="A91" s="175"/>
      <c r="B91" s="175"/>
      <c r="C91" s="175"/>
      <c r="D91" s="175"/>
      <c r="E91" s="175"/>
      <c r="F91" s="175"/>
      <c r="G91" s="175"/>
      <c r="H91" s="175"/>
      <c r="I91" s="175"/>
      <c r="J91" s="175"/>
      <c r="K91" s="175"/>
      <c r="L91" s="175"/>
    </row>
    <row r="92" spans="1:12" x14ac:dyDescent="0.25">
      <c r="A92" s="175"/>
      <c r="B92" s="175"/>
      <c r="C92" s="175"/>
      <c r="D92" s="175"/>
      <c r="E92" s="175"/>
      <c r="F92" s="175"/>
      <c r="G92" s="175"/>
      <c r="H92" s="175"/>
      <c r="I92" s="175"/>
      <c r="J92" s="175"/>
      <c r="K92" s="175"/>
      <c r="L92" s="175"/>
    </row>
    <row r="93" spans="1:12" x14ac:dyDescent="0.25">
      <c r="A93" s="175"/>
      <c r="B93" s="175"/>
      <c r="C93" s="175"/>
      <c r="D93" s="175"/>
      <c r="E93" s="175"/>
      <c r="F93" s="175"/>
      <c r="G93" s="175"/>
      <c r="H93" s="175"/>
      <c r="I93" s="175"/>
      <c r="J93" s="175"/>
      <c r="K93" s="175"/>
      <c r="L93" s="175"/>
    </row>
    <row r="94" spans="1:12" x14ac:dyDescent="0.25">
      <c r="A94" s="175"/>
      <c r="B94" s="175"/>
      <c r="C94" s="175"/>
      <c r="D94" s="175"/>
      <c r="E94" s="175"/>
      <c r="F94" s="175"/>
      <c r="G94" s="175"/>
      <c r="H94" s="175"/>
      <c r="I94" s="175"/>
      <c r="J94" s="175"/>
      <c r="K94" s="175"/>
      <c r="L94" s="175"/>
    </row>
    <row r="95" spans="1:12" x14ac:dyDescent="0.25">
      <c r="A95" s="175"/>
      <c r="B95" s="175"/>
      <c r="C95" s="175"/>
      <c r="D95" s="175"/>
      <c r="E95" s="175"/>
      <c r="F95" s="175"/>
      <c r="G95" s="175"/>
      <c r="H95" s="175"/>
      <c r="I95" s="175"/>
      <c r="J95" s="175"/>
      <c r="K95" s="175"/>
      <c r="L95" s="175"/>
    </row>
    <row r="96" spans="1:12" x14ac:dyDescent="0.25">
      <c r="A96" s="175"/>
      <c r="B96" s="175"/>
      <c r="C96" s="175"/>
      <c r="D96" s="175"/>
      <c r="E96" s="175"/>
      <c r="F96" s="175"/>
      <c r="G96" s="175"/>
      <c r="H96" s="175"/>
      <c r="I96" s="175"/>
      <c r="J96" s="175"/>
      <c r="K96" s="175"/>
      <c r="L96" s="175"/>
    </row>
    <row r="97" spans="1:12" x14ac:dyDescent="0.25">
      <c r="A97" s="175"/>
      <c r="B97" s="175"/>
      <c r="C97" s="175"/>
      <c r="D97" s="175"/>
      <c r="E97" s="175"/>
      <c r="F97" s="175"/>
      <c r="G97" s="175"/>
      <c r="H97" s="175"/>
      <c r="I97" s="175"/>
      <c r="J97" s="175"/>
      <c r="K97" s="175"/>
      <c r="L97" s="175"/>
    </row>
    <row r="98" spans="1:12" x14ac:dyDescent="0.25">
      <c r="A98" s="175"/>
      <c r="B98" s="175"/>
      <c r="C98" s="175"/>
      <c r="D98" s="175"/>
      <c r="E98" s="175"/>
      <c r="F98" s="175"/>
      <c r="G98" s="175"/>
      <c r="H98" s="175"/>
      <c r="I98" s="175"/>
      <c r="J98" s="175"/>
      <c r="K98" s="175"/>
      <c r="L98" s="175"/>
    </row>
    <row r="99" spans="1:12" x14ac:dyDescent="0.25">
      <c r="A99" s="175"/>
      <c r="B99" s="175"/>
      <c r="C99" s="175"/>
      <c r="D99" s="175"/>
      <c r="E99" s="175"/>
      <c r="F99" s="175"/>
      <c r="G99" s="175"/>
      <c r="H99" s="175"/>
      <c r="I99" s="175"/>
      <c r="J99" s="175"/>
      <c r="K99" s="175"/>
      <c r="L99" s="175"/>
    </row>
  </sheetData>
  <sheetProtection selectLockedCells="1" selectUnlockedCells="1"/>
  <autoFilter ref="A6:A7" xr:uid="{C38B1059-57FB-44F8-A581-201391BFC7DC}"/>
  <sortState xmlns:xlrd2="http://schemas.microsoft.com/office/spreadsheetml/2017/richdata2" ref="A9:Y60">
    <sortCondition ref="A9:A60"/>
  </sortState>
  <customSheetViews>
    <customSheetView guid="{00D01216-4B44-433C-B036-BE1A6969F2B5}" scale="55" showPageBreaks="1" fitToPage="1" printArea="1" topLeftCell="G34">
      <selection activeCell="Q59" sqref="Q59"/>
      <pageMargins left="0" right="0" top="0" bottom="0" header="0" footer="0"/>
      <pageSetup paperSize="3" scale="28" fitToHeight="0" orientation="landscape" r:id="rId1"/>
    </customSheetView>
  </customSheetViews>
  <mergeCells count="3">
    <mergeCell ref="I5:T5"/>
    <mergeCell ref="U5:AI5"/>
    <mergeCell ref="D62:F62"/>
  </mergeCells>
  <conditionalFormatting sqref="P9:P12 P23 P53:P61 P45:P51 P27:P43 P14:P21">
    <cfRule type="cellIs" dxfId="251" priority="140" operator="greaterThanOrEqual">
      <formula>1</formula>
    </cfRule>
  </conditionalFormatting>
  <conditionalFormatting sqref="K61">
    <cfRule type="cellIs" dxfId="250" priority="124" operator="greaterThan">
      <formula>8.49</formula>
    </cfRule>
  </conditionalFormatting>
  <conditionalFormatting sqref="L9:L21 L23:L51 L53:L61">
    <cfRule type="cellIs" dxfId="249" priority="123" operator="greaterThanOrEqual">
      <formula>400</formula>
    </cfRule>
  </conditionalFormatting>
  <conditionalFormatting sqref="M56:M61 M15 M45:M49 M32:M33 M36:M43 M17:M21">
    <cfRule type="cellIs" dxfId="248" priority="121" operator="greaterThanOrEqual">
      <formula>61</formula>
    </cfRule>
  </conditionalFormatting>
  <conditionalFormatting sqref="J9:J21 J23:J61">
    <cfRule type="cellIs" dxfId="247" priority="120" operator="greaterThanOrEqual">
      <formula>20</formula>
    </cfRule>
  </conditionalFormatting>
  <conditionalFormatting sqref="I61">
    <cfRule type="cellIs" dxfId="246" priority="119" operator="lessThan">
      <formula>5.1</formula>
    </cfRule>
  </conditionalFormatting>
  <conditionalFormatting sqref="Q9:Q11 Q21 Q14:Q19 Q23:Q24 Q53:Q61 Q27:Q43 Q45:Q51">
    <cfRule type="cellIs" dxfId="245" priority="117" operator="greaterThanOrEqual">
      <formula>0.1</formula>
    </cfRule>
  </conditionalFormatting>
  <conditionalFormatting sqref="S9:S11 S26:S41 S43 S47:S51 S23 S13 S15:S21 S53:S61 S45">
    <cfRule type="cellIs" dxfId="244" priority="116" operator="greaterThanOrEqual">
      <formula>0.3</formula>
    </cfRule>
  </conditionalFormatting>
  <conditionalFormatting sqref="T61">
    <cfRule type="cellIs" dxfId="243" priority="115" operator="greaterThan">
      <formula>0.049</formula>
    </cfRule>
  </conditionalFormatting>
  <conditionalFormatting sqref="V61">
    <cfRule type="cellIs" dxfId="242" priority="114" operator="greaterThan">
      <formula>5</formula>
    </cfRule>
  </conditionalFormatting>
  <conditionalFormatting sqref="W9:W14 W60:W61 W49:W53 W35:W44 W25:W30 W20:W21 W18 W16">
    <cfRule type="cellIs" dxfId="241" priority="113" operator="greaterThanOrEqual">
      <formula>100</formula>
    </cfRule>
  </conditionalFormatting>
  <conditionalFormatting sqref="K9:K21 K23:K60">
    <cfRule type="cellIs" dxfId="240" priority="94" operator="greaterThanOrEqual">
      <formula>8.5</formula>
    </cfRule>
  </conditionalFormatting>
  <conditionalFormatting sqref="T9:T12 T23:T43 T53:T60 T45:T51 T14:T21">
    <cfRule type="cellIs" dxfId="239" priority="93" operator="greaterThanOrEqual">
      <formula>0.05</formula>
    </cfRule>
  </conditionalFormatting>
  <conditionalFormatting sqref="K9:K21 K23:K60">
    <cfRule type="cellIs" dxfId="238" priority="19" operator="lessThanOrEqual">
      <formula>6.5</formula>
    </cfRule>
  </conditionalFormatting>
  <conditionalFormatting sqref="V9 V50 V40:V42 V26:V30 V20:V21 V16 V18 V11:V13">
    <cfRule type="cellIs" dxfId="237" priority="18" operator="greaterThanOrEqual">
      <formula>5</formula>
    </cfRule>
  </conditionalFormatting>
  <conditionalFormatting sqref="X9:X10 X42:X43 X31:X40 X16:X21 X12:X14 X27:X29 X45:X48 X50:X59 X25 X23">
    <cfRule type="cellIs" dxfId="236" priority="17" operator="greaterThanOrEqual">
      <formula>50</formula>
    </cfRule>
  </conditionalFormatting>
  <conditionalFormatting sqref="Y10:Y18 Y60 Y55:Y57 Y51:Y53 Y45:Y48 Y42 Y34:Y38 Y27 Y25 Y20:Y21">
    <cfRule type="cellIs" dxfId="235" priority="16" operator="greaterThanOrEqual">
      <formula>16</formula>
    </cfRule>
  </conditionalFormatting>
  <conditionalFormatting sqref="Z10:Z13 Z60 Z52:Z53 Z39:Z40 Z19:Z21 Z55:Z57">
    <cfRule type="cellIs" dxfId="234" priority="15" operator="greaterThanOrEqual">
      <formula>50</formula>
    </cfRule>
  </conditionalFormatting>
  <conditionalFormatting sqref="I9:I21 I27:I43 I48 I50:I60 I23:I25">
    <cfRule type="cellIs" dxfId="233" priority="13" operator="greaterThanOrEqual">
      <formula>20</formula>
    </cfRule>
  </conditionalFormatting>
  <conditionalFormatting sqref="P22">
    <cfRule type="cellIs" dxfId="232" priority="12" operator="greaterThanOrEqual">
      <formula>1</formula>
    </cfRule>
  </conditionalFormatting>
  <conditionalFormatting sqref="L22">
    <cfRule type="cellIs" dxfId="231" priority="11" operator="greaterThanOrEqual">
      <formula>400</formula>
    </cfRule>
  </conditionalFormatting>
  <conditionalFormatting sqref="M22">
    <cfRule type="cellIs" dxfId="230" priority="10" operator="greaterThanOrEqual">
      <formula>61</formula>
    </cfRule>
  </conditionalFormatting>
  <conditionalFormatting sqref="J22">
    <cfRule type="cellIs" dxfId="229" priority="9" operator="greaterThanOrEqual">
      <formula>20</formula>
    </cfRule>
  </conditionalFormatting>
  <conditionalFormatting sqref="Q22">
    <cfRule type="cellIs" dxfId="228" priority="8" operator="greaterThanOrEqual">
      <formula>0.1</formula>
    </cfRule>
  </conditionalFormatting>
  <conditionalFormatting sqref="S22">
    <cfRule type="cellIs" dxfId="227" priority="7" operator="greaterThanOrEqual">
      <formula>0.3</formula>
    </cfRule>
  </conditionalFormatting>
  <conditionalFormatting sqref="K22">
    <cfRule type="cellIs" dxfId="226" priority="6" operator="greaterThanOrEqual">
      <formula>8.5</formula>
    </cfRule>
  </conditionalFormatting>
  <conditionalFormatting sqref="T22">
    <cfRule type="cellIs" dxfId="225" priority="5" operator="greaterThanOrEqual">
      <formula>0.05</formula>
    </cfRule>
  </conditionalFormatting>
  <conditionalFormatting sqref="K22">
    <cfRule type="cellIs" dxfId="224" priority="4" operator="lessThanOrEqual">
      <formula>6.5</formula>
    </cfRule>
  </conditionalFormatting>
  <conditionalFormatting sqref="X22">
    <cfRule type="cellIs" dxfId="223" priority="3" operator="greaterThanOrEqual">
      <formula>50</formula>
    </cfRule>
  </conditionalFormatting>
  <conditionalFormatting sqref="I22">
    <cfRule type="cellIs" dxfId="222" priority="2" operator="greaterThanOrEqual">
      <formula>20</formula>
    </cfRule>
  </conditionalFormatting>
  <conditionalFormatting sqref="Q25">
    <cfRule type="cellIs" dxfId="221" priority="1" operator="greaterThanOrEqual">
      <formula>0.1</formula>
    </cfRule>
  </conditionalFormatting>
  <printOptions horizontalCentered="1"/>
  <pageMargins left="0.7" right="0.7" top="0.75" bottom="0.75" header="0.3" footer="0.3"/>
  <pageSetup paperSize="3" scale="28" orientation="landscape" r:id="rId2"/>
  <headerFooter>
    <oddFooter>&amp;C&amp;"Microsoft YaHei,Regular"&amp;14Page &amp;P of &amp;N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4BC9-D0CF-406D-A070-4E7EA149772E}">
  <dimension ref="B1:P37"/>
  <sheetViews>
    <sheetView workbookViewId="0">
      <selection activeCell="M4" sqref="M4:M21"/>
    </sheetView>
  </sheetViews>
  <sheetFormatPr defaultRowHeight="15" x14ac:dyDescent="0.25"/>
  <cols>
    <col min="1" max="1" width="9.140625" style="239"/>
    <col min="2" max="2" width="16.42578125" style="239" customWidth="1"/>
    <col min="3" max="3" width="13.5703125" style="239" customWidth="1"/>
    <col min="4" max="4" width="9.140625" style="239"/>
    <col min="5" max="5" width="13.28515625" style="239" customWidth="1"/>
    <col min="6" max="6" width="9.140625" style="239"/>
    <col min="7" max="7" width="16.140625" style="239" customWidth="1"/>
    <col min="8" max="8" width="34.5703125" style="239" customWidth="1"/>
    <col min="9" max="12" width="9.140625" style="239"/>
    <col min="13" max="15" width="9.140625" style="371"/>
    <col min="16" max="16384" width="9.140625" style="239"/>
  </cols>
  <sheetData>
    <row r="1" spans="2:16" x14ac:dyDescent="0.25">
      <c r="B1" s="239" t="s">
        <v>0</v>
      </c>
      <c r="M1" s="371">
        <v>52</v>
      </c>
      <c r="O1" s="371">
        <v>4</v>
      </c>
      <c r="P1" s="239">
        <v>48</v>
      </c>
    </row>
    <row r="3" spans="2:16" ht="30" x14ac:dyDescent="0.25">
      <c r="B3" s="27" t="s">
        <v>1</v>
      </c>
      <c r="C3" s="28" t="s">
        <v>2</v>
      </c>
      <c r="D3" s="28" t="s">
        <v>3</v>
      </c>
      <c r="E3" s="29" t="s">
        <v>4</v>
      </c>
      <c r="F3" s="28" t="s">
        <v>5</v>
      </c>
      <c r="G3" s="29" t="s">
        <v>6</v>
      </c>
      <c r="H3" s="30" t="s">
        <v>7</v>
      </c>
    </row>
    <row r="4" spans="2:16" x14ac:dyDescent="0.25">
      <c r="B4" s="31" t="s">
        <v>8</v>
      </c>
      <c r="C4" s="32" t="s">
        <v>9</v>
      </c>
      <c r="D4" s="375" t="s">
        <v>10</v>
      </c>
      <c r="E4" s="375"/>
      <c r="F4" s="372" t="s">
        <v>11</v>
      </c>
      <c r="G4" s="39">
        <v>1</v>
      </c>
      <c r="H4" s="34"/>
      <c r="M4" s="371">
        <f t="shared" ref="M4:M21" si="0">100*(G4/$P$1)</f>
        <v>2.083333333333333</v>
      </c>
    </row>
    <row r="5" spans="2:16" x14ac:dyDescent="0.25">
      <c r="B5" s="31" t="s">
        <v>12</v>
      </c>
      <c r="C5" s="32" t="s">
        <v>13</v>
      </c>
      <c r="D5" s="32">
        <v>20</v>
      </c>
      <c r="E5" s="32" t="s">
        <v>14</v>
      </c>
      <c r="F5" s="372"/>
      <c r="G5" s="39">
        <v>0</v>
      </c>
      <c r="H5" s="34"/>
      <c r="M5" s="371">
        <f t="shared" si="0"/>
        <v>0</v>
      </c>
    </row>
    <row r="6" spans="2:16" x14ac:dyDescent="0.25">
      <c r="B6" s="31" t="s">
        <v>15</v>
      </c>
      <c r="C6" s="32"/>
      <c r="D6" s="376"/>
      <c r="E6" s="376"/>
      <c r="F6" s="372"/>
      <c r="G6" s="35">
        <v>8</v>
      </c>
      <c r="H6" s="34"/>
      <c r="M6" s="371">
        <f t="shared" si="0"/>
        <v>16.666666666666664</v>
      </c>
    </row>
    <row r="7" spans="2:16" ht="17.25" x14ac:dyDescent="0.25">
      <c r="B7" s="31" t="s">
        <v>16</v>
      </c>
      <c r="C7" s="32" t="s">
        <v>17</v>
      </c>
      <c r="D7" s="32" t="s">
        <v>18</v>
      </c>
      <c r="E7" s="32" t="s">
        <v>19</v>
      </c>
      <c r="F7" s="372"/>
      <c r="G7" s="36">
        <v>31</v>
      </c>
      <c r="H7" s="34"/>
      <c r="M7" s="371">
        <f t="shared" si="0"/>
        <v>64.583333333333343</v>
      </c>
    </row>
    <row r="8" spans="2:16" ht="17.25" x14ac:dyDescent="0.25">
      <c r="B8" s="31" t="s">
        <v>20</v>
      </c>
      <c r="C8" s="32" t="s">
        <v>17</v>
      </c>
      <c r="D8" s="32"/>
      <c r="E8" s="32" t="s">
        <v>21</v>
      </c>
      <c r="F8" s="372"/>
      <c r="G8" s="359">
        <v>19</v>
      </c>
      <c r="H8" s="358" t="s">
        <v>22</v>
      </c>
      <c r="M8" s="371">
        <f t="shared" si="0"/>
        <v>39.583333333333329</v>
      </c>
    </row>
    <row r="9" spans="2:16" x14ac:dyDescent="0.25">
      <c r="B9" s="31" t="s">
        <v>23</v>
      </c>
      <c r="C9" s="32" t="s">
        <v>9</v>
      </c>
      <c r="D9" s="37">
        <v>1</v>
      </c>
      <c r="E9" s="32" t="s">
        <v>14</v>
      </c>
      <c r="F9" s="372"/>
      <c r="G9" s="36">
        <v>35</v>
      </c>
      <c r="H9" s="34"/>
      <c r="M9" s="371">
        <f t="shared" si="0"/>
        <v>72.916666666666657</v>
      </c>
    </row>
    <row r="10" spans="2:16" x14ac:dyDescent="0.25">
      <c r="B10" s="31" t="s">
        <v>24</v>
      </c>
      <c r="C10" s="32" t="s">
        <v>9</v>
      </c>
      <c r="D10" s="32">
        <v>0.1</v>
      </c>
      <c r="E10" s="32" t="s">
        <v>14</v>
      </c>
      <c r="F10" s="372"/>
      <c r="G10" s="36">
        <v>39</v>
      </c>
      <c r="H10" s="34"/>
      <c r="M10" s="371">
        <f t="shared" si="0"/>
        <v>81.25</v>
      </c>
    </row>
    <row r="11" spans="2:16" x14ac:dyDescent="0.25">
      <c r="B11" s="31" t="s">
        <v>25</v>
      </c>
      <c r="C11" s="32" t="s">
        <v>9</v>
      </c>
      <c r="D11" s="32">
        <v>0.5</v>
      </c>
      <c r="E11" s="32" t="s">
        <v>14</v>
      </c>
      <c r="F11" s="372"/>
      <c r="G11" s="38">
        <v>0</v>
      </c>
      <c r="H11" s="34"/>
      <c r="M11" s="371">
        <f t="shared" si="0"/>
        <v>0</v>
      </c>
    </row>
    <row r="12" spans="2:16" x14ac:dyDescent="0.25">
      <c r="B12" s="31" t="s">
        <v>26</v>
      </c>
      <c r="C12" s="32" t="s">
        <v>9</v>
      </c>
      <c r="D12" s="32">
        <v>0.3</v>
      </c>
      <c r="E12" s="32" t="s">
        <v>14</v>
      </c>
      <c r="F12" s="372"/>
      <c r="G12" s="39">
        <v>12</v>
      </c>
      <c r="H12" s="34"/>
      <c r="M12" s="371">
        <f t="shared" si="0"/>
        <v>25</v>
      </c>
    </row>
    <row r="13" spans="2:16" x14ac:dyDescent="0.25">
      <c r="B13" s="31" t="s">
        <v>27</v>
      </c>
      <c r="C13" s="32" t="s">
        <v>9</v>
      </c>
      <c r="D13" s="32">
        <v>0.05</v>
      </c>
      <c r="E13" s="32" t="s">
        <v>14</v>
      </c>
      <c r="F13" s="372"/>
      <c r="G13" s="38">
        <v>19</v>
      </c>
      <c r="H13" s="34"/>
      <c r="M13" s="371">
        <f t="shared" si="0"/>
        <v>39.583333333333329</v>
      </c>
    </row>
    <row r="14" spans="2:16" ht="15" customHeight="1" x14ac:dyDescent="0.25">
      <c r="B14" s="31" t="s">
        <v>28</v>
      </c>
      <c r="C14" s="32" t="s">
        <v>29</v>
      </c>
      <c r="D14" s="32" t="s">
        <v>30</v>
      </c>
      <c r="E14" s="40"/>
      <c r="F14" s="373" t="s">
        <v>31</v>
      </c>
      <c r="G14" s="38">
        <v>4</v>
      </c>
      <c r="H14" s="350"/>
      <c r="M14" s="371">
        <f t="shared" si="0"/>
        <v>8.3333333333333321</v>
      </c>
    </row>
    <row r="15" spans="2:16" x14ac:dyDescent="0.25">
      <c r="B15" s="31" t="s">
        <v>32</v>
      </c>
      <c r="C15" s="32" t="s">
        <v>29</v>
      </c>
      <c r="D15" s="32" t="s">
        <v>33</v>
      </c>
      <c r="E15" s="40"/>
      <c r="F15" s="373"/>
      <c r="G15" s="39"/>
      <c r="H15" s="349"/>
      <c r="M15" s="371">
        <f t="shared" si="0"/>
        <v>0</v>
      </c>
    </row>
    <row r="16" spans="2:16" ht="17.25" x14ac:dyDescent="0.25">
      <c r="B16" s="31" t="s">
        <v>34</v>
      </c>
      <c r="C16" s="32" t="s">
        <v>29</v>
      </c>
      <c r="D16" s="32" t="s">
        <v>30</v>
      </c>
      <c r="E16" s="40"/>
      <c r="F16" s="373"/>
      <c r="G16" s="33"/>
      <c r="H16" s="351"/>
      <c r="M16" s="371">
        <f t="shared" si="0"/>
        <v>0</v>
      </c>
    </row>
    <row r="17" spans="2:13" ht="17.25" x14ac:dyDescent="0.25">
      <c r="B17" s="31" t="s">
        <v>35</v>
      </c>
      <c r="C17" s="32" t="s">
        <v>29</v>
      </c>
      <c r="D17" s="32">
        <v>16</v>
      </c>
      <c r="E17" s="40"/>
      <c r="F17" s="373"/>
      <c r="G17" s="33"/>
      <c r="H17" s="351"/>
      <c r="M17" s="371">
        <f t="shared" si="0"/>
        <v>0</v>
      </c>
    </row>
    <row r="18" spans="2:13" x14ac:dyDescent="0.25">
      <c r="B18" s="31" t="s">
        <v>36</v>
      </c>
      <c r="C18" s="32" t="s">
        <v>29</v>
      </c>
      <c r="D18" s="32" t="s">
        <v>33</v>
      </c>
      <c r="E18" s="40"/>
      <c r="F18" s="373"/>
      <c r="G18" s="33"/>
      <c r="H18" s="349"/>
      <c r="M18" s="371">
        <f t="shared" si="0"/>
        <v>0</v>
      </c>
    </row>
    <row r="19" spans="2:13" x14ac:dyDescent="0.25">
      <c r="B19" s="31" t="s">
        <v>37</v>
      </c>
      <c r="C19" s="32" t="s">
        <v>29</v>
      </c>
      <c r="D19" s="32" t="s">
        <v>30</v>
      </c>
      <c r="E19" s="40"/>
      <c r="F19" s="373"/>
      <c r="G19" s="38">
        <v>1</v>
      </c>
      <c r="H19" s="349"/>
      <c r="M19" s="371">
        <f t="shared" si="0"/>
        <v>2.083333333333333</v>
      </c>
    </row>
    <row r="20" spans="2:13" x14ac:dyDescent="0.25">
      <c r="B20" s="31" t="s">
        <v>38</v>
      </c>
      <c r="C20" s="32" t="s">
        <v>29</v>
      </c>
      <c r="D20" s="32" t="s">
        <v>33</v>
      </c>
      <c r="E20" s="40"/>
      <c r="F20" s="373"/>
      <c r="G20" s="33"/>
      <c r="H20" s="34"/>
      <c r="M20" s="371">
        <f t="shared" si="0"/>
        <v>0</v>
      </c>
    </row>
    <row r="21" spans="2:13" x14ac:dyDescent="0.25">
      <c r="B21" s="42" t="s">
        <v>39</v>
      </c>
      <c r="C21" s="43" t="s">
        <v>29</v>
      </c>
      <c r="D21" s="43" t="s">
        <v>33</v>
      </c>
      <c r="E21" s="44"/>
      <c r="F21" s="374"/>
      <c r="G21" s="45"/>
      <c r="H21" s="46"/>
      <c r="M21" s="371">
        <f t="shared" si="0"/>
        <v>0</v>
      </c>
    </row>
    <row r="24" spans="2:13" x14ac:dyDescent="0.25">
      <c r="B24" s="1"/>
      <c r="C24" s="239" t="s">
        <v>40</v>
      </c>
    </row>
    <row r="25" spans="2:13" x14ac:dyDescent="0.25">
      <c r="B25" s="3" t="s">
        <v>41</v>
      </c>
      <c r="C25" s="239" t="s">
        <v>42</v>
      </c>
    </row>
    <row r="26" spans="2:13" x14ac:dyDescent="0.25">
      <c r="B26" s="3"/>
    </row>
    <row r="27" spans="2:13" ht="17.25" x14ac:dyDescent="0.25">
      <c r="B27" s="2">
        <v>1</v>
      </c>
      <c r="C27" s="239" t="s">
        <v>43</v>
      </c>
    </row>
    <row r="28" spans="2:13" ht="17.25" x14ac:dyDescent="0.25">
      <c r="B28" s="2">
        <v>2</v>
      </c>
      <c r="C28" s="239" t="s">
        <v>44</v>
      </c>
    </row>
    <row r="29" spans="2:13" ht="17.25" x14ac:dyDescent="0.25">
      <c r="B29" s="2">
        <v>3</v>
      </c>
      <c r="C29" s="239" t="s">
        <v>45</v>
      </c>
    </row>
    <row r="30" spans="2:13" ht="17.25" x14ac:dyDescent="0.25">
      <c r="B30" s="2">
        <v>4</v>
      </c>
      <c r="C30" s="239" t="s">
        <v>46</v>
      </c>
    </row>
    <row r="31" spans="2:13" x14ac:dyDescent="0.25">
      <c r="B31" s="3" t="s">
        <v>33</v>
      </c>
      <c r="C31" s="239" t="s">
        <v>47</v>
      </c>
    </row>
    <row r="32" spans="2:13" x14ac:dyDescent="0.25">
      <c r="B32" s="3" t="s">
        <v>30</v>
      </c>
      <c r="C32" s="239" t="s">
        <v>48</v>
      </c>
    </row>
    <row r="35" spans="2:2" x14ac:dyDescent="0.25">
      <c r="B35" s="4" t="s">
        <v>49</v>
      </c>
    </row>
    <row r="37" spans="2:2" x14ac:dyDescent="0.25">
      <c r="B37" s="239" t="s">
        <v>50</v>
      </c>
    </row>
  </sheetData>
  <sheetProtection selectLockedCells="1" selectUnlockedCells="1"/>
  <mergeCells count="4">
    <mergeCell ref="D4:E4"/>
    <mergeCell ref="F4:F13"/>
    <mergeCell ref="D6:E6"/>
    <mergeCell ref="F14:F21"/>
  </mergeCells>
  <hyperlinks>
    <hyperlink ref="B35" r:id="rId1" xr:uid="{A3272D98-BD34-4D82-B63C-3E764EBE7A1D}"/>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96E50-6600-4B33-8810-5367B590C577}">
  <sheetPr>
    <pageSetUpPr fitToPage="1"/>
  </sheetPr>
  <dimension ref="A1:AJ100"/>
  <sheetViews>
    <sheetView view="pageBreakPreview" topLeftCell="G38" zoomScale="40" zoomScaleNormal="55" zoomScaleSheetLayoutView="40" zoomScalePageLayoutView="40" workbookViewId="0">
      <selection activeCell="S53" sqref="S53"/>
    </sheetView>
  </sheetViews>
  <sheetFormatPr defaultRowHeight="16.5" x14ac:dyDescent="0.25"/>
  <cols>
    <col min="1" max="1" width="37.85546875" style="163" customWidth="1"/>
    <col min="2" max="2" width="37.85546875" style="163" hidden="1" customWidth="1"/>
    <col min="3" max="3" width="46.7109375" style="163" customWidth="1"/>
    <col min="4" max="4" width="58.42578125" style="163" customWidth="1"/>
    <col min="5" max="5" width="13.7109375" style="163" customWidth="1"/>
    <col min="6" max="6" width="31.5703125" style="163" customWidth="1"/>
    <col min="7" max="7" width="15.7109375" style="163" customWidth="1"/>
    <col min="8" max="8" width="22.28515625" style="163" customWidth="1"/>
    <col min="9" max="9" width="22.7109375" style="163" customWidth="1"/>
    <col min="10" max="10" width="17.28515625" style="163" customWidth="1"/>
    <col min="11" max="11" width="22.5703125" style="163" customWidth="1"/>
    <col min="12" max="12" width="18.5703125" style="163" customWidth="1"/>
    <col min="13" max="13" width="21" style="163" customWidth="1"/>
    <col min="14" max="15" width="15" style="163" hidden="1" customWidth="1"/>
    <col min="16" max="16" width="18.85546875" style="164" customWidth="1"/>
    <col min="17" max="17" width="15.7109375" style="165" customWidth="1"/>
    <col min="18" max="18" width="12.42578125" style="163" customWidth="1"/>
    <col min="19" max="19" width="18.28515625" style="163" customWidth="1"/>
    <col min="20" max="20" width="22" style="163" customWidth="1"/>
    <col min="21" max="21" width="18.5703125" style="163" customWidth="1"/>
    <col min="22" max="22" width="17.5703125" style="163" customWidth="1"/>
    <col min="23" max="23" width="15.140625" style="163" customWidth="1"/>
    <col min="24" max="24" width="22" style="163" customWidth="1"/>
    <col min="25" max="25" width="18.5703125" style="163" customWidth="1"/>
    <col min="26" max="26" width="14.85546875" style="163" customWidth="1"/>
    <col min="27" max="27" width="17.5703125" style="163" customWidth="1"/>
    <col min="28" max="28" width="16.28515625" style="163" customWidth="1"/>
    <col min="29" max="29" width="14.7109375" style="163" customWidth="1"/>
    <col min="30" max="30" width="21.140625" style="163" customWidth="1"/>
    <col min="31" max="31" width="20" style="163" hidden="1" customWidth="1"/>
    <col min="32" max="32" width="19.7109375" style="163" customWidth="1"/>
    <col min="33" max="33" width="19.28515625" style="163" customWidth="1"/>
    <col min="34" max="34" width="21" style="163" customWidth="1"/>
    <col min="35" max="35" width="20" style="163" customWidth="1"/>
    <col min="36" max="16384" width="9.140625" style="163"/>
  </cols>
  <sheetData>
    <row r="1" spans="1:35" x14ac:dyDescent="0.25">
      <c r="A1" s="161" t="s">
        <v>193</v>
      </c>
      <c r="B1" s="161"/>
      <c r="C1" s="162"/>
      <c r="F1" s="162"/>
    </row>
    <row r="2" spans="1:35" x14ac:dyDescent="0.25">
      <c r="A2" s="166" t="s">
        <v>194</v>
      </c>
      <c r="B2" s="166"/>
      <c r="C2" s="162"/>
      <c r="F2" s="162"/>
    </row>
    <row r="3" spans="1:35" x14ac:dyDescent="0.25">
      <c r="C3" s="162"/>
      <c r="F3" s="162"/>
    </row>
    <row r="4" spans="1:35" s="179" customFormat="1" ht="51.75" thickBot="1" x14ac:dyDescent="1.25">
      <c r="A4" s="69" t="s">
        <v>195</v>
      </c>
      <c r="B4" s="69"/>
      <c r="C4" s="178"/>
      <c r="F4" s="178"/>
      <c r="P4" s="180"/>
      <c r="Q4" s="181"/>
    </row>
    <row r="5" spans="1:35" ht="45.75" customHeight="1" x14ac:dyDescent="0.3">
      <c r="A5" s="284"/>
      <c r="B5" s="285"/>
      <c r="C5" s="286"/>
      <c r="D5" s="286"/>
      <c r="E5" s="286"/>
      <c r="F5" s="286"/>
      <c r="G5" s="286"/>
      <c r="H5" s="286"/>
      <c r="I5" s="414" t="s">
        <v>196</v>
      </c>
      <c r="J5" s="414"/>
      <c r="K5" s="414"/>
      <c r="L5" s="414"/>
      <c r="M5" s="414"/>
      <c r="N5" s="414"/>
      <c r="O5" s="414"/>
      <c r="P5" s="414"/>
      <c r="Q5" s="414"/>
      <c r="R5" s="414"/>
      <c r="S5" s="414"/>
      <c r="T5" s="414"/>
      <c r="U5" s="415" t="s">
        <v>197</v>
      </c>
      <c r="V5" s="415"/>
      <c r="W5" s="415"/>
      <c r="X5" s="415"/>
      <c r="Y5" s="415"/>
      <c r="Z5" s="415"/>
      <c r="AA5" s="415"/>
      <c r="AB5" s="415"/>
      <c r="AC5" s="415"/>
      <c r="AD5" s="415"/>
      <c r="AE5" s="415"/>
      <c r="AF5" s="415"/>
      <c r="AG5" s="415"/>
      <c r="AH5" s="415"/>
      <c r="AI5" s="416"/>
    </row>
    <row r="6" spans="1:35" s="167" customFormat="1" ht="120" customHeight="1" x14ac:dyDescent="0.25">
      <c r="A6" s="287" t="s">
        <v>198</v>
      </c>
      <c r="B6" s="288"/>
      <c r="C6" s="289"/>
      <c r="D6" s="290"/>
      <c r="E6" s="290"/>
      <c r="F6" s="289"/>
      <c r="G6" s="290"/>
      <c r="H6" s="290"/>
      <c r="I6" s="291" t="s">
        <v>199</v>
      </c>
      <c r="J6" s="292">
        <v>20</v>
      </c>
      <c r="K6" s="292" t="s">
        <v>200</v>
      </c>
      <c r="L6" s="292">
        <v>400</v>
      </c>
      <c r="M6" s="292">
        <v>61</v>
      </c>
      <c r="N6" s="292"/>
      <c r="O6" s="292"/>
      <c r="P6" s="293">
        <v>1</v>
      </c>
      <c r="Q6" s="294">
        <v>0.1</v>
      </c>
      <c r="R6" s="292">
        <v>0.5</v>
      </c>
      <c r="S6" s="292">
        <v>0.3</v>
      </c>
      <c r="T6" s="292">
        <v>0.05</v>
      </c>
      <c r="U6" s="292"/>
      <c r="V6" s="292">
        <v>5</v>
      </c>
      <c r="W6" s="292">
        <v>100</v>
      </c>
      <c r="X6" s="292">
        <v>50</v>
      </c>
      <c r="Y6" s="292">
        <v>16</v>
      </c>
      <c r="Z6" s="292">
        <v>50</v>
      </c>
      <c r="AA6" s="292"/>
      <c r="AB6" s="295"/>
      <c r="AC6" s="296"/>
      <c r="AD6" s="292"/>
      <c r="AE6" s="292"/>
      <c r="AF6" s="292"/>
      <c r="AG6" s="297"/>
      <c r="AH6" s="296"/>
      <c r="AI6" s="298"/>
    </row>
    <row r="7" spans="1:35" s="168" customFormat="1" ht="148.5" customHeight="1" x14ac:dyDescent="0.25">
      <c r="A7" s="317" t="s">
        <v>68</v>
      </c>
      <c r="B7" s="301"/>
      <c r="C7" s="301" t="s">
        <v>201</v>
      </c>
      <c r="D7" s="301" t="s">
        <v>202</v>
      </c>
      <c r="E7" s="301" t="s">
        <v>7</v>
      </c>
      <c r="F7" s="301" t="s">
        <v>203</v>
      </c>
      <c r="G7" s="302" t="s">
        <v>204</v>
      </c>
      <c r="H7" s="301" t="s">
        <v>205</v>
      </c>
      <c r="I7" s="301" t="s">
        <v>206</v>
      </c>
      <c r="J7" s="301" t="s">
        <v>207</v>
      </c>
      <c r="K7" s="301" t="s">
        <v>208</v>
      </c>
      <c r="L7" s="301" t="s">
        <v>209</v>
      </c>
      <c r="M7" s="301" t="s">
        <v>210</v>
      </c>
      <c r="N7" s="303" t="s">
        <v>75</v>
      </c>
      <c r="O7" s="303" t="s">
        <v>77</v>
      </c>
      <c r="P7" s="304" t="s">
        <v>211</v>
      </c>
      <c r="Q7" s="305" t="s">
        <v>212</v>
      </c>
      <c r="R7" s="301" t="s">
        <v>213</v>
      </c>
      <c r="S7" s="301" t="s">
        <v>214</v>
      </c>
      <c r="T7" s="301" t="s">
        <v>215</v>
      </c>
      <c r="U7" s="301" t="s">
        <v>216</v>
      </c>
      <c r="V7" s="301" t="s">
        <v>217</v>
      </c>
      <c r="W7" s="301" t="s">
        <v>218</v>
      </c>
      <c r="X7" s="301" t="s">
        <v>219</v>
      </c>
      <c r="Y7" s="301" t="s">
        <v>220</v>
      </c>
      <c r="Z7" s="301" t="s">
        <v>221</v>
      </c>
      <c r="AA7" s="301" t="s">
        <v>222</v>
      </c>
      <c r="AB7" s="301" t="s">
        <v>223</v>
      </c>
      <c r="AC7" s="301" t="s">
        <v>224</v>
      </c>
      <c r="AD7" s="301" t="s">
        <v>225</v>
      </c>
      <c r="AE7" s="301"/>
      <c r="AF7" s="301" t="s">
        <v>226</v>
      </c>
      <c r="AG7" s="301" t="s">
        <v>227</v>
      </c>
      <c r="AH7" s="301" t="s">
        <v>228</v>
      </c>
      <c r="AI7" s="306" t="s">
        <v>229</v>
      </c>
    </row>
    <row r="8" spans="1:35" s="168" customFormat="1" ht="88.5" hidden="1" customHeight="1" x14ac:dyDescent="0.25">
      <c r="A8" s="299"/>
      <c r="B8" s="300"/>
      <c r="C8" s="300"/>
      <c r="D8" s="301"/>
      <c r="E8" s="301"/>
      <c r="F8" s="301"/>
      <c r="G8" s="302"/>
      <c r="H8" s="301"/>
      <c r="I8" s="301"/>
      <c r="J8" s="301"/>
      <c r="K8" s="301"/>
      <c r="L8" s="301"/>
      <c r="M8" s="301"/>
      <c r="N8" s="303"/>
      <c r="O8" s="303"/>
      <c r="P8" s="304"/>
      <c r="Q8" s="305"/>
      <c r="R8" s="301"/>
      <c r="S8" s="301"/>
      <c r="T8" s="301"/>
      <c r="U8" s="301"/>
      <c r="V8" s="301"/>
      <c r="W8" s="301"/>
      <c r="X8" s="301"/>
      <c r="Y8" s="301"/>
      <c r="Z8" s="301"/>
      <c r="AA8" s="301"/>
      <c r="AB8" s="301"/>
      <c r="AC8" s="301"/>
      <c r="AD8" s="301"/>
      <c r="AE8" s="301"/>
      <c r="AF8" s="301"/>
      <c r="AG8" s="301"/>
      <c r="AH8" s="301"/>
      <c r="AI8" s="306"/>
    </row>
    <row r="9" spans="1:35" s="169" customFormat="1" ht="24.95" customHeight="1" x14ac:dyDescent="0.3">
      <c r="A9" s="213" t="str">
        <f t="shared" ref="A9:A60" si="0">VLOOKUP($C9, juris, 3, FALSE)</f>
        <v>Aliso Viejo</v>
      </c>
      <c r="B9" s="223">
        <v>1922001</v>
      </c>
      <c r="C9" s="266" t="s">
        <v>105</v>
      </c>
      <c r="D9" s="106" t="str">
        <f t="shared" ref="D9:D60" si="1">VLOOKUP(C9, RW, 2, FALSE)</f>
        <v>Aliso Creek</v>
      </c>
      <c r="E9" s="307">
        <f t="shared" ref="E9:E31" si="2">VLOOKUP(D9, BU, 2, FALSE)</f>
        <v>6</v>
      </c>
      <c r="F9" s="107">
        <f t="shared" ref="F9:F60" si="3">VLOOKUP($B9,WaterQuality, 2, FALSE)</f>
        <v>44446.40902777778</v>
      </c>
      <c r="G9" s="111">
        <f t="shared" ref="G9:G21" si="4">VLOOKUP($C9, Flow_R2, 7, FALSE)</f>
        <v>0.09</v>
      </c>
      <c r="H9" s="109">
        <f t="shared" ref="H9:H38" si="5">VLOOKUP($B9, WaterQuality, 117, FALSE)</f>
        <v>3087</v>
      </c>
      <c r="I9" s="111">
        <f t="shared" ref="I9:I38" si="6">VLOOKUP($B9, WaterQuality, 115, FALSE)</f>
        <v>6.72</v>
      </c>
      <c r="J9" s="108">
        <f t="shared" ref="J9:J38" si="7">VLOOKUP($B9,WaterQuality, 110, FALSE)</f>
        <v>3.4</v>
      </c>
      <c r="K9" s="110">
        <f t="shared" ref="K9:K38" si="8">VLOOKUP($B9,WaterQuality, 116, FALSE)</f>
        <v>7.95</v>
      </c>
      <c r="L9" s="109" t="str">
        <f t="shared" ref="L9:L38" si="9">VLOOKUP($B9,WaterQuality, 113, FALSE)</f>
        <v>&gt;=9900</v>
      </c>
      <c r="M9" s="109" t="str">
        <f t="shared" ref="M9:M38" si="10">VLOOKUP($B9, WaterQuality, 114, FALSE)</f>
        <v>&gt;=76000</v>
      </c>
      <c r="N9" s="108">
        <f t="shared" ref="N9:N38" si="11">VLOOKUP($B9,WaterQuality, 99, FALSE)</f>
        <v>7.1</v>
      </c>
      <c r="O9" s="108">
        <f t="shared" ref="O9:O38" si="12">VLOOKUP($B9,WaterQuality, 100, FALSE)</f>
        <v>1.2</v>
      </c>
      <c r="P9" s="214">
        <f t="shared" ref="P9:P21" si="13">N9+O9</f>
        <v>8.2999999999999989</v>
      </c>
      <c r="Q9" s="111">
        <f>VLOOKUP($B9, WaterQuality, 103, FALSE)*31/95</f>
        <v>0.42421052631578954</v>
      </c>
      <c r="R9" s="106" t="str">
        <f t="shared" ref="R9:R38" si="14">VLOOKUP($B9,WaterQuality, 89, FALSE)</f>
        <v>&lt;0.05</v>
      </c>
      <c r="S9" s="110">
        <f>VLOOKUP($B9,WaterQuality, 85, FALSE)/1000</f>
        <v>0.3</v>
      </c>
      <c r="T9" s="110">
        <f t="shared" ref="T9:T38" si="15">VLOOKUP($B9,WaterQuality, 88, FALSE)/1000</f>
        <v>0.03</v>
      </c>
      <c r="U9" s="109">
        <f t="shared" ref="U9:U38" si="16">VLOOKUP($B9,WaterQuality, 84, FALSE)</f>
        <v>1070</v>
      </c>
      <c r="V9" s="106">
        <f t="shared" ref="V9:V38" si="17">VLOOKUP($B9,WaterQuality, 78, FALSE)</f>
        <v>2.2999999999999998</v>
      </c>
      <c r="W9" s="109">
        <f t="shared" ref="W9:W38" si="18">VLOOKUP($B9,WaterQuality, 91, FALSE)</f>
        <v>11</v>
      </c>
      <c r="X9" s="106">
        <f t="shared" ref="X9:X38" si="19">VLOOKUP($B9,WaterQuality, 81, FALSE)</f>
        <v>2.1</v>
      </c>
      <c r="Y9" s="106">
        <f t="shared" ref="Y9:Y38" si="20">VLOOKUP($B9,WaterQuality, 80, FALSE)</f>
        <v>1.2</v>
      </c>
      <c r="Z9" s="111">
        <f t="shared" ref="Z9:Z28" si="21">X9-Y9</f>
        <v>0.90000000000000013</v>
      </c>
      <c r="AA9" s="106">
        <f t="shared" ref="AA9:AA38" si="22">VLOOKUP($B9,WaterQuality, 82, FALSE)</f>
        <v>8.1999999999999993</v>
      </c>
      <c r="AB9" s="110">
        <f t="shared" ref="AB9:AB38" si="23">VLOOKUP($B9,WaterQuality, 86, FALSE)</f>
        <v>0.2</v>
      </c>
      <c r="AC9" s="106" t="str">
        <f t="shared" ref="AC9:AC38" si="24">VLOOKUP($B9,WaterQuality, 93, FALSE)</f>
        <v>&lt;0.2</v>
      </c>
      <c r="AD9" s="109">
        <f t="shared" ref="AD9:AD38" si="25">VLOOKUP($B9,WaterQuality, 96, FALSE)</f>
        <v>15</v>
      </c>
      <c r="AE9" s="223">
        <v>1922005</v>
      </c>
      <c r="AF9" s="106">
        <f t="shared" ref="AF9:AF60" si="26">VLOOKUP($AE9,WaterQuality, 82, FALSE)</f>
        <v>2.8</v>
      </c>
      <c r="AG9" s="106" t="str">
        <f t="shared" ref="AG9:AG60" si="27">VLOOKUP($AE9,WaterQuality, 86, FALSE)</f>
        <v>&lt;0.2</v>
      </c>
      <c r="AH9" s="106" t="str">
        <f t="shared" ref="AH9:AH60" si="28">VLOOKUP($AE9,WaterQuality, 93, FALSE)</f>
        <v>&lt;0.2</v>
      </c>
      <c r="AI9" s="308">
        <f t="shared" ref="AI9:AI60" si="29">VLOOKUP($AE9,WaterQuality, 96, FALSE)</f>
        <v>12</v>
      </c>
    </row>
    <row r="10" spans="1:35" ht="24.95" customHeight="1" x14ac:dyDescent="0.3">
      <c r="A10" s="213" t="str">
        <f t="shared" si="0"/>
        <v>Aliso Viejo</v>
      </c>
      <c r="B10" s="223">
        <v>1922004</v>
      </c>
      <c r="C10" s="266" t="s">
        <v>108</v>
      </c>
      <c r="D10" s="106" t="str">
        <f t="shared" si="1"/>
        <v>Aliso Creek</v>
      </c>
      <c r="E10" s="307">
        <f t="shared" si="2"/>
        <v>6</v>
      </c>
      <c r="F10" s="107">
        <f t="shared" si="3"/>
        <v>44446.457638888889</v>
      </c>
      <c r="G10" s="111">
        <f>VLOOKUP($C10, Flow_R2, 8, FALSE)</f>
        <v>6.6000000000000003E-2</v>
      </c>
      <c r="H10" s="109">
        <f t="shared" si="5"/>
        <v>1331</v>
      </c>
      <c r="I10" s="111">
        <f t="shared" si="6"/>
        <v>6.49</v>
      </c>
      <c r="J10" s="110">
        <f t="shared" si="7"/>
        <v>0.66</v>
      </c>
      <c r="K10" s="110">
        <f t="shared" si="8"/>
        <v>8.0399999999999991</v>
      </c>
      <c r="L10" s="109" t="str">
        <f t="shared" si="9"/>
        <v>&gt;=260</v>
      </c>
      <c r="M10" s="109" t="str">
        <f t="shared" si="10"/>
        <v>&gt;=5000</v>
      </c>
      <c r="N10" s="108">
        <f t="shared" si="11"/>
        <v>2.4</v>
      </c>
      <c r="O10" s="110">
        <f t="shared" si="12"/>
        <v>0.89</v>
      </c>
      <c r="P10" s="214">
        <f t="shared" si="13"/>
        <v>3.29</v>
      </c>
      <c r="Q10" s="111">
        <f>VLOOKUP($B10, WaterQuality, 103, FALSE)*31/95</f>
        <v>0.35894736842105263</v>
      </c>
      <c r="R10" s="106" t="str">
        <f t="shared" si="14"/>
        <v>&lt;0.05</v>
      </c>
      <c r="S10" s="110">
        <f>VLOOKUP($B10,WaterQuality, 85, FALSE)/1000</f>
        <v>0.11</v>
      </c>
      <c r="T10" s="110">
        <f t="shared" si="15"/>
        <v>5.2999999999999999E-2</v>
      </c>
      <c r="U10" s="109">
        <f t="shared" si="16"/>
        <v>395</v>
      </c>
      <c r="V10" s="106" t="str">
        <f t="shared" si="17"/>
        <v>&lt;0.2</v>
      </c>
      <c r="W10" s="108">
        <f t="shared" si="18"/>
        <v>2.4</v>
      </c>
      <c r="X10" s="106">
        <f t="shared" si="19"/>
        <v>1.1000000000000001</v>
      </c>
      <c r="Y10" s="106">
        <f t="shared" si="20"/>
        <v>0.81</v>
      </c>
      <c r="Z10" s="111">
        <f t="shared" si="21"/>
        <v>0.29000000000000004</v>
      </c>
      <c r="AA10" s="106">
        <f t="shared" si="22"/>
        <v>2.6</v>
      </c>
      <c r="AB10" s="110" t="str">
        <f t="shared" si="23"/>
        <v>&lt;0.2</v>
      </c>
      <c r="AC10" s="106" t="str">
        <f t="shared" si="24"/>
        <v>&lt;0.2</v>
      </c>
      <c r="AD10" s="109" t="str">
        <f t="shared" si="25"/>
        <v>&lt;10</v>
      </c>
      <c r="AE10" s="223">
        <v>1922008</v>
      </c>
      <c r="AF10" s="106">
        <f t="shared" si="26"/>
        <v>1.7</v>
      </c>
      <c r="AG10" s="106" t="str">
        <f t="shared" si="27"/>
        <v>&lt;0.2</v>
      </c>
      <c r="AH10" s="106" t="str">
        <f t="shared" si="28"/>
        <v>&lt;0.2</v>
      </c>
      <c r="AI10" s="308" t="str">
        <f t="shared" si="29"/>
        <v>&lt;10</v>
      </c>
    </row>
    <row r="11" spans="1:35" ht="24.95" customHeight="1" x14ac:dyDescent="0.3">
      <c r="A11" s="213" t="str">
        <f t="shared" si="0"/>
        <v>Aliso Viejo</v>
      </c>
      <c r="B11" s="223">
        <v>1921001</v>
      </c>
      <c r="C11" s="266" t="s">
        <v>107</v>
      </c>
      <c r="D11" s="106" t="str">
        <f t="shared" si="1"/>
        <v>Dairy Fork</v>
      </c>
      <c r="E11" s="307">
        <f t="shared" si="2"/>
        <v>5</v>
      </c>
      <c r="F11" s="107">
        <f t="shared" si="3"/>
        <v>44448.370833333334</v>
      </c>
      <c r="G11" s="124">
        <f>VLOOKUP($C11, Flow_R2, 8, FALSE)</f>
        <v>2.21</v>
      </c>
      <c r="H11" s="109">
        <f t="shared" si="5"/>
        <v>2505</v>
      </c>
      <c r="I11" s="111">
        <f t="shared" si="6"/>
        <v>5.61</v>
      </c>
      <c r="J11" s="108">
        <f t="shared" si="7"/>
        <v>1</v>
      </c>
      <c r="K11" s="110">
        <f t="shared" si="8"/>
        <v>7.95</v>
      </c>
      <c r="L11" s="109">
        <f t="shared" si="9"/>
        <v>5900</v>
      </c>
      <c r="M11" s="109" t="str">
        <f t="shared" si="10"/>
        <v>&gt;=55000</v>
      </c>
      <c r="N11" s="108">
        <f t="shared" si="11"/>
        <v>1.9</v>
      </c>
      <c r="O11" s="110">
        <f t="shared" si="12"/>
        <v>0.84</v>
      </c>
      <c r="P11" s="216">
        <f t="shared" si="13"/>
        <v>2.7399999999999998</v>
      </c>
      <c r="Q11" s="111">
        <f>VLOOKUP($B11, WaterQuality, 103, FALSE)*31/95</f>
        <v>0.25126315789473685</v>
      </c>
      <c r="R11" s="106" t="str">
        <f t="shared" si="14"/>
        <v>&lt;0.05</v>
      </c>
      <c r="S11" s="110">
        <f>VLOOKUP($B11,WaterQuality, 85, FALSE)/1000</f>
        <v>8.8999999999999996E-2</v>
      </c>
      <c r="T11" s="110">
        <f t="shared" si="15"/>
        <v>0.14000000000000001</v>
      </c>
      <c r="U11" s="109">
        <f t="shared" si="16"/>
        <v>774</v>
      </c>
      <c r="V11" s="106">
        <f t="shared" si="17"/>
        <v>0.32</v>
      </c>
      <c r="W11" s="108">
        <f t="shared" si="18"/>
        <v>3.8</v>
      </c>
      <c r="X11" s="106">
        <f t="shared" si="19"/>
        <v>0.49</v>
      </c>
      <c r="Y11" s="106">
        <f t="shared" si="20"/>
        <v>0.34</v>
      </c>
      <c r="Z11" s="111">
        <f t="shared" si="21"/>
        <v>0.14999999999999997</v>
      </c>
      <c r="AA11" s="106">
        <f t="shared" si="22"/>
        <v>3.3</v>
      </c>
      <c r="AB11" s="110" t="str">
        <f t="shared" si="23"/>
        <v>&lt;0.2</v>
      </c>
      <c r="AC11" s="106" t="str">
        <f t="shared" si="24"/>
        <v>&lt;0.2</v>
      </c>
      <c r="AD11" s="109" t="str">
        <f t="shared" si="25"/>
        <v>&lt;10</v>
      </c>
      <c r="AE11" s="223">
        <v>1921004</v>
      </c>
      <c r="AF11" s="112">
        <f t="shared" si="26"/>
        <v>2</v>
      </c>
      <c r="AG11" s="106" t="str">
        <f t="shared" si="27"/>
        <v>&lt;0.2</v>
      </c>
      <c r="AH11" s="106" t="str">
        <f t="shared" si="28"/>
        <v>&lt;0.2</v>
      </c>
      <c r="AI11" s="308" t="str">
        <f t="shared" si="29"/>
        <v>&lt;10</v>
      </c>
    </row>
    <row r="12" spans="1:35" ht="24.95" customHeight="1" x14ac:dyDescent="0.3">
      <c r="A12" s="213" t="str">
        <f t="shared" si="0"/>
        <v>Aliso Viejo</v>
      </c>
      <c r="B12" s="223">
        <v>1921003</v>
      </c>
      <c r="C12" s="266" t="s">
        <v>106</v>
      </c>
      <c r="D12" s="106" t="str">
        <f t="shared" si="1"/>
        <v>Dairy Fork</v>
      </c>
      <c r="E12" s="307">
        <f t="shared" si="2"/>
        <v>5</v>
      </c>
      <c r="F12" s="107">
        <f t="shared" si="3"/>
        <v>44448.42291666667</v>
      </c>
      <c r="G12" s="124">
        <f t="shared" si="4"/>
        <v>0.99733333333333329</v>
      </c>
      <c r="H12" s="109">
        <f t="shared" si="5"/>
        <v>2717</v>
      </c>
      <c r="I12" s="111">
        <f t="shared" si="6"/>
        <v>7.87</v>
      </c>
      <c r="J12" s="110">
        <f t="shared" si="7"/>
        <v>0.17</v>
      </c>
      <c r="K12" s="110">
        <f t="shared" si="8"/>
        <v>8.24</v>
      </c>
      <c r="L12" s="109">
        <f t="shared" si="9"/>
        <v>330</v>
      </c>
      <c r="M12" s="109" t="str">
        <f t="shared" si="10"/>
        <v>&gt;=1610</v>
      </c>
      <c r="N12" s="108">
        <f t="shared" si="11"/>
        <v>1.4</v>
      </c>
      <c r="O12" s="110">
        <f t="shared" si="12"/>
        <v>0.25</v>
      </c>
      <c r="P12" s="216">
        <f t="shared" si="13"/>
        <v>1.65</v>
      </c>
      <c r="Q12" s="111">
        <f>VLOOKUP($B12, WaterQuality, 103, FALSE)*31/95</f>
        <v>0.22189473684210528</v>
      </c>
      <c r="R12" s="106" t="str">
        <f t="shared" si="14"/>
        <v>&lt;0.05</v>
      </c>
      <c r="S12" s="110" t="s">
        <v>230</v>
      </c>
      <c r="T12" s="110">
        <f t="shared" si="15"/>
        <v>0.23</v>
      </c>
      <c r="U12" s="109">
        <f t="shared" si="16"/>
        <v>867</v>
      </c>
      <c r="V12" s="106">
        <f t="shared" si="17"/>
        <v>0.27</v>
      </c>
      <c r="W12" s="108">
        <f t="shared" si="18"/>
        <v>3.1</v>
      </c>
      <c r="X12" s="106">
        <f t="shared" si="19"/>
        <v>0.38</v>
      </c>
      <c r="Y12" s="106">
        <f t="shared" si="20"/>
        <v>0.37</v>
      </c>
      <c r="Z12" s="111">
        <f t="shared" si="21"/>
        <v>1.0000000000000009E-2</v>
      </c>
      <c r="AA12" s="106">
        <f t="shared" si="22"/>
        <v>5.6</v>
      </c>
      <c r="AB12" s="110" t="str">
        <f t="shared" si="23"/>
        <v>&lt;0.2</v>
      </c>
      <c r="AC12" s="106" t="str">
        <f t="shared" si="24"/>
        <v>&lt;0.2</v>
      </c>
      <c r="AD12" s="109" t="str">
        <f t="shared" si="25"/>
        <v>&lt;10</v>
      </c>
      <c r="AE12" s="223">
        <v>1921006</v>
      </c>
      <c r="AF12" s="106">
        <f t="shared" si="26"/>
        <v>4.9000000000000004</v>
      </c>
      <c r="AG12" s="106" t="str">
        <f t="shared" si="27"/>
        <v>&lt;0.2</v>
      </c>
      <c r="AH12" s="106" t="str">
        <f t="shared" si="28"/>
        <v>&lt;0.2</v>
      </c>
      <c r="AI12" s="308" t="str">
        <f t="shared" si="29"/>
        <v>&lt;10</v>
      </c>
    </row>
    <row r="13" spans="1:35" ht="24.95" customHeight="1" x14ac:dyDescent="0.3">
      <c r="A13" s="213" t="str">
        <f t="shared" si="0"/>
        <v>Aliso Viejo</v>
      </c>
      <c r="B13" s="223">
        <v>1921002</v>
      </c>
      <c r="C13" s="266" t="s">
        <v>104</v>
      </c>
      <c r="D13" s="106" t="str">
        <f t="shared" si="1"/>
        <v>Dairy Fork</v>
      </c>
      <c r="E13" s="307">
        <f t="shared" si="2"/>
        <v>5</v>
      </c>
      <c r="F13" s="107">
        <f t="shared" si="3"/>
        <v>44448.459722222222</v>
      </c>
      <c r="G13" s="111">
        <f>VLOOKUP($C13, Flow_R2, 8, FALSE)</f>
        <v>8.0000000000000002E-3</v>
      </c>
      <c r="H13" s="109">
        <f t="shared" si="5"/>
        <v>2114</v>
      </c>
      <c r="I13" s="111">
        <f t="shared" si="6"/>
        <v>9.41</v>
      </c>
      <c r="J13" s="108">
        <f t="shared" si="7"/>
        <v>2.2000000000000002</v>
      </c>
      <c r="K13" s="110">
        <f t="shared" si="8"/>
        <v>8.41</v>
      </c>
      <c r="L13" s="109">
        <f t="shared" si="9"/>
        <v>1500</v>
      </c>
      <c r="M13" s="109" t="str">
        <f t="shared" si="10"/>
        <v>&gt;=38000</v>
      </c>
      <c r="N13" s="108">
        <f t="shared" si="11"/>
        <v>3.3</v>
      </c>
      <c r="O13" s="108">
        <f t="shared" si="12"/>
        <v>1.1000000000000001</v>
      </c>
      <c r="P13" s="216">
        <f t="shared" si="13"/>
        <v>4.4000000000000004</v>
      </c>
      <c r="Q13" s="111">
        <f t="shared" ref="Q13:Q38" si="30">VLOOKUP($B13, WaterQuality, 103, FALSE)*31/95</f>
        <v>0.45684210526315788</v>
      </c>
      <c r="R13" s="106">
        <f t="shared" si="14"/>
        <v>5.0999999999999997E-2</v>
      </c>
      <c r="S13" s="110">
        <f>VLOOKUP($B13,WaterQuality, 85, FALSE)/1000</f>
        <v>0.17</v>
      </c>
      <c r="T13" s="110">
        <f t="shared" si="15"/>
        <v>1.4999999999999999E-2</v>
      </c>
      <c r="U13" s="109">
        <f t="shared" si="16"/>
        <v>595</v>
      </c>
      <c r="V13" s="106">
        <f t="shared" si="17"/>
        <v>0.22</v>
      </c>
      <c r="W13" s="108">
        <f t="shared" si="18"/>
        <v>4.5</v>
      </c>
      <c r="X13" s="106">
        <f t="shared" si="19"/>
        <v>1.3</v>
      </c>
      <c r="Y13" s="106">
        <f t="shared" si="20"/>
        <v>0.7</v>
      </c>
      <c r="Z13" s="111">
        <f t="shared" si="21"/>
        <v>0.60000000000000009</v>
      </c>
      <c r="AA13" s="112">
        <f t="shared" si="22"/>
        <v>3.6</v>
      </c>
      <c r="AB13" s="110" t="str">
        <f t="shared" si="23"/>
        <v>&lt;0.2</v>
      </c>
      <c r="AC13" s="106" t="str">
        <f t="shared" si="24"/>
        <v>&lt;0.2</v>
      </c>
      <c r="AD13" s="109">
        <f t="shared" si="25"/>
        <v>11</v>
      </c>
      <c r="AE13" s="223">
        <v>1921005</v>
      </c>
      <c r="AF13" s="106">
        <f t="shared" si="26"/>
        <v>2.2000000000000002</v>
      </c>
      <c r="AG13" s="106" t="str">
        <f t="shared" si="27"/>
        <v>&lt;0.2</v>
      </c>
      <c r="AH13" s="106" t="str">
        <f t="shared" si="28"/>
        <v>&lt;0.2</v>
      </c>
      <c r="AI13" s="308" t="str">
        <f t="shared" si="29"/>
        <v>&lt;10</v>
      </c>
    </row>
    <row r="14" spans="1:35" ht="24.95" customHeight="1" x14ac:dyDescent="0.3">
      <c r="A14" s="213" t="str">
        <f t="shared" si="0"/>
        <v>Aliso Viejo</v>
      </c>
      <c r="B14" s="223">
        <v>1943001</v>
      </c>
      <c r="C14" s="266" t="s">
        <v>101</v>
      </c>
      <c r="D14" s="106" t="str">
        <f t="shared" si="1"/>
        <v>Aliso Creek</v>
      </c>
      <c r="E14" s="307">
        <f t="shared" si="2"/>
        <v>6</v>
      </c>
      <c r="F14" s="107">
        <f t="shared" si="3"/>
        <v>44455.402083333334</v>
      </c>
      <c r="G14" s="111">
        <f>VLOOKUP($C14, Flow_R2, 8, FALSE)</f>
        <v>1.2E-2</v>
      </c>
      <c r="H14" s="109">
        <f t="shared" si="5"/>
        <v>2361</v>
      </c>
      <c r="I14" s="111">
        <f t="shared" si="6"/>
        <v>9.9</v>
      </c>
      <c r="J14" s="108">
        <f t="shared" si="7"/>
        <v>3.5</v>
      </c>
      <c r="K14" s="110">
        <f t="shared" si="8"/>
        <v>8.52</v>
      </c>
      <c r="L14" s="109">
        <f t="shared" si="9"/>
        <v>7300</v>
      </c>
      <c r="M14" s="109" t="str">
        <f t="shared" si="10"/>
        <v>&gt;=40000</v>
      </c>
      <c r="N14" s="109">
        <f t="shared" si="11"/>
        <v>17</v>
      </c>
      <c r="O14" s="108">
        <f t="shared" si="12"/>
        <v>6.7</v>
      </c>
      <c r="P14" s="235">
        <f t="shared" si="13"/>
        <v>23.7</v>
      </c>
      <c r="Q14" s="111">
        <f t="shared" si="30"/>
        <v>0.52210526315789474</v>
      </c>
      <c r="R14" s="106">
        <f t="shared" si="14"/>
        <v>5.6000000000000001E-2</v>
      </c>
      <c r="S14" s="110">
        <f>VLOOKUP($B14,WaterQuality, 85, FALSE)/1000</f>
        <v>0.19</v>
      </c>
      <c r="T14" s="110">
        <f t="shared" si="15"/>
        <v>9.4999999999999998E-3</v>
      </c>
      <c r="U14" s="109">
        <f t="shared" si="16"/>
        <v>645</v>
      </c>
      <c r="V14" s="106">
        <f t="shared" si="17"/>
        <v>1.1000000000000001</v>
      </c>
      <c r="W14" s="109">
        <f t="shared" si="18"/>
        <v>12</v>
      </c>
      <c r="X14" s="106">
        <f t="shared" si="19"/>
        <v>0.95</v>
      </c>
      <c r="Y14" s="106">
        <f t="shared" si="20"/>
        <v>0.39</v>
      </c>
      <c r="Z14" s="111">
        <f t="shared" si="21"/>
        <v>0.55999999999999994</v>
      </c>
      <c r="AA14" s="106">
        <f t="shared" si="22"/>
        <v>8.8000000000000007</v>
      </c>
      <c r="AB14" s="110" t="str">
        <f t="shared" si="23"/>
        <v>&lt;0.2</v>
      </c>
      <c r="AC14" s="106" t="str">
        <f t="shared" si="24"/>
        <v>&lt;0.2</v>
      </c>
      <c r="AD14" s="109">
        <f t="shared" si="25"/>
        <v>23</v>
      </c>
      <c r="AE14" s="223">
        <v>1943002</v>
      </c>
      <c r="AF14" s="106">
        <f t="shared" si="26"/>
        <v>7.9</v>
      </c>
      <c r="AG14" s="106" t="str">
        <f t="shared" si="27"/>
        <v>&lt;0.2</v>
      </c>
      <c r="AH14" s="106" t="str">
        <f t="shared" si="28"/>
        <v>&lt;0.2</v>
      </c>
      <c r="AI14" s="308">
        <f t="shared" si="29"/>
        <v>19</v>
      </c>
    </row>
    <row r="15" spans="1:35" ht="24.95" customHeight="1" x14ac:dyDescent="0.3">
      <c r="A15" s="213" t="str">
        <f t="shared" si="0"/>
        <v>County of Orange</v>
      </c>
      <c r="B15" s="223">
        <v>1855001</v>
      </c>
      <c r="C15" s="266" t="s">
        <v>109</v>
      </c>
      <c r="D15" s="106" t="str">
        <f t="shared" si="1"/>
        <v>Canada Gobernadora</v>
      </c>
      <c r="E15" s="307">
        <f t="shared" si="2"/>
        <v>7</v>
      </c>
      <c r="F15" s="107">
        <f t="shared" si="3"/>
        <v>44411.386111111111</v>
      </c>
      <c r="G15" s="111">
        <f>VLOOKUP($C15, Flow_R2, 8, FALSE)</f>
        <v>3.2000000000000001E-2</v>
      </c>
      <c r="H15" s="109">
        <f t="shared" si="5"/>
        <v>1661</v>
      </c>
      <c r="I15" s="111">
        <f t="shared" si="6"/>
        <v>8.65</v>
      </c>
      <c r="J15" s="110">
        <f t="shared" si="7"/>
        <v>0.65</v>
      </c>
      <c r="K15" s="110">
        <f t="shared" si="8"/>
        <v>8.01</v>
      </c>
      <c r="L15" s="109" t="str">
        <f t="shared" si="9"/>
        <v>&gt;=700</v>
      </c>
      <c r="M15" s="109" t="str">
        <f t="shared" si="10"/>
        <v>&gt;=30000</v>
      </c>
      <c r="N15" s="108">
        <f t="shared" si="11"/>
        <v>1.1000000000000001</v>
      </c>
      <c r="O15" s="108">
        <f t="shared" si="12"/>
        <v>1.5</v>
      </c>
      <c r="P15" s="216">
        <f t="shared" si="13"/>
        <v>2.6</v>
      </c>
      <c r="Q15" s="111">
        <f t="shared" si="30"/>
        <v>0.20557894736842106</v>
      </c>
      <c r="R15" s="106" t="str">
        <f t="shared" si="14"/>
        <v>&lt;0.05</v>
      </c>
      <c r="S15" s="110">
        <f>VLOOKUP($B15,WaterQuality, 85, FALSE)/1000</f>
        <v>4.4999999999999998E-2</v>
      </c>
      <c r="T15" s="110">
        <f t="shared" si="15"/>
        <v>3.5999999999999997E-2</v>
      </c>
      <c r="U15" s="109">
        <f t="shared" si="16"/>
        <v>449</v>
      </c>
      <c r="V15" s="106" t="str">
        <f t="shared" si="17"/>
        <v>&lt;0.2</v>
      </c>
      <c r="W15" s="108" t="str">
        <f t="shared" si="18"/>
        <v>&lt;2</v>
      </c>
      <c r="X15" s="106">
        <f t="shared" si="19"/>
        <v>0.48</v>
      </c>
      <c r="Y15" s="106">
        <f t="shared" si="20"/>
        <v>0.26</v>
      </c>
      <c r="Z15" s="111">
        <f t="shared" si="21"/>
        <v>0.21999999999999997</v>
      </c>
      <c r="AA15" s="112">
        <f t="shared" si="22"/>
        <v>4.4000000000000004</v>
      </c>
      <c r="AB15" s="110" t="str">
        <f t="shared" si="23"/>
        <v>&lt;0.2</v>
      </c>
      <c r="AC15" s="106" t="str">
        <f t="shared" si="24"/>
        <v>&lt;0.2</v>
      </c>
      <c r="AD15" s="109" t="str">
        <f t="shared" si="25"/>
        <v>&lt;10</v>
      </c>
      <c r="AE15" s="223">
        <v>1855003</v>
      </c>
      <c r="AF15" s="106">
        <f t="shared" si="26"/>
        <v>3.7</v>
      </c>
      <c r="AG15" s="106" t="str">
        <f t="shared" si="27"/>
        <v>&lt;0.2</v>
      </c>
      <c r="AH15" s="106" t="str">
        <f t="shared" si="28"/>
        <v>&lt;0.2</v>
      </c>
      <c r="AI15" s="308" t="str">
        <f t="shared" si="29"/>
        <v>&lt;10</v>
      </c>
    </row>
    <row r="16" spans="1:35" ht="24.95" customHeight="1" x14ac:dyDescent="0.3">
      <c r="A16" s="213" t="str">
        <f t="shared" si="0"/>
        <v>County of Orange</v>
      </c>
      <c r="B16" s="223">
        <v>1855002</v>
      </c>
      <c r="C16" s="266" t="s">
        <v>111</v>
      </c>
      <c r="D16" s="106" t="str">
        <f t="shared" si="1"/>
        <v>Canada Gobernadora</v>
      </c>
      <c r="E16" s="307">
        <f t="shared" si="2"/>
        <v>7</v>
      </c>
      <c r="F16" s="107">
        <f t="shared" si="3"/>
        <v>44411.454861111109</v>
      </c>
      <c r="G16" s="111">
        <f>VLOOKUP($C16, Flow_R2, 8, FALSE)</f>
        <v>1.0999999999999999E-2</v>
      </c>
      <c r="H16" s="109">
        <f t="shared" si="5"/>
        <v>1749.83</v>
      </c>
      <c r="I16" s="111">
        <f t="shared" si="6"/>
        <v>8.26</v>
      </c>
      <c r="J16" s="110">
        <f t="shared" si="7"/>
        <v>0.63</v>
      </c>
      <c r="K16" s="110">
        <f t="shared" si="8"/>
        <v>8.3800000000000008</v>
      </c>
      <c r="L16" s="109">
        <f t="shared" si="9"/>
        <v>200</v>
      </c>
      <c r="M16" s="109" t="str">
        <f t="shared" si="10"/>
        <v>&gt;=5800</v>
      </c>
      <c r="N16" s="108">
        <f t="shared" si="11"/>
        <v>2.7</v>
      </c>
      <c r="O16" s="108">
        <f t="shared" si="12"/>
        <v>1.1000000000000001</v>
      </c>
      <c r="P16" s="214">
        <f t="shared" si="13"/>
        <v>3.8000000000000003</v>
      </c>
      <c r="Q16" s="111">
        <f t="shared" si="30"/>
        <v>0.45684210526315788</v>
      </c>
      <c r="R16" s="106" t="str">
        <f t="shared" si="14"/>
        <v>&lt;0.05</v>
      </c>
      <c r="S16" s="110">
        <f>VLOOKUP($B16,WaterQuality, 85, FALSE)/1000</f>
        <v>4.7E-2</v>
      </c>
      <c r="T16" s="110">
        <f t="shared" si="15"/>
        <v>9.5999999999999992E-3</v>
      </c>
      <c r="U16" s="109">
        <f t="shared" si="16"/>
        <v>500</v>
      </c>
      <c r="V16" s="106" t="str">
        <f t="shared" si="17"/>
        <v>&lt;0.2</v>
      </c>
      <c r="W16" s="108" t="str">
        <f t="shared" si="18"/>
        <v>&lt;2</v>
      </c>
      <c r="X16" s="106">
        <f t="shared" si="19"/>
        <v>0.36</v>
      </c>
      <c r="Y16" s="106">
        <f t="shared" si="20"/>
        <v>0.15</v>
      </c>
      <c r="Z16" s="111">
        <f t="shared" si="21"/>
        <v>0.21</v>
      </c>
      <c r="AA16" s="106">
        <f t="shared" si="22"/>
        <v>6.5</v>
      </c>
      <c r="AB16" s="110" t="str">
        <f t="shared" si="23"/>
        <v>&lt;0.2</v>
      </c>
      <c r="AC16" s="106" t="str">
        <f t="shared" si="24"/>
        <v>&lt;0.2</v>
      </c>
      <c r="AD16" s="109">
        <f t="shared" si="25"/>
        <v>11</v>
      </c>
      <c r="AE16" s="223">
        <v>1855004</v>
      </c>
      <c r="AF16" s="106">
        <f t="shared" si="26"/>
        <v>6.1</v>
      </c>
      <c r="AG16" s="106" t="str">
        <f t="shared" si="27"/>
        <v>&lt;0.2</v>
      </c>
      <c r="AH16" s="106" t="str">
        <f t="shared" si="28"/>
        <v>&lt;0.2</v>
      </c>
      <c r="AI16" s="308">
        <f t="shared" si="29"/>
        <v>11</v>
      </c>
    </row>
    <row r="17" spans="1:35" ht="24.95" customHeight="1" x14ac:dyDescent="0.3">
      <c r="A17" s="213" t="str">
        <f t="shared" si="0"/>
        <v>County of Orange</v>
      </c>
      <c r="B17" s="223">
        <v>1922003</v>
      </c>
      <c r="C17" s="266" t="s">
        <v>110</v>
      </c>
      <c r="D17" s="106" t="str">
        <f t="shared" si="1"/>
        <v>Aliso Creek</v>
      </c>
      <c r="E17" s="307">
        <f t="shared" si="2"/>
        <v>6</v>
      </c>
      <c r="F17" s="107">
        <f t="shared" si="3"/>
        <v>44446.37777777778</v>
      </c>
      <c r="G17" s="111">
        <f>VLOOKUP($C17, Flow_R2, 8, FALSE)</f>
        <v>2.5000000000000001E-2</v>
      </c>
      <c r="H17" s="109">
        <f t="shared" si="5"/>
        <v>1623</v>
      </c>
      <c r="I17" s="111">
        <f t="shared" si="6"/>
        <v>8.3000000000000007</v>
      </c>
      <c r="J17" s="108">
        <f t="shared" si="7"/>
        <v>7</v>
      </c>
      <c r="K17" s="110">
        <f t="shared" si="8"/>
        <v>8.4700000000000006</v>
      </c>
      <c r="L17" s="109" t="str">
        <f t="shared" si="9"/>
        <v>&gt;=982</v>
      </c>
      <c r="M17" s="109" t="str">
        <f t="shared" si="10"/>
        <v>&gt;=41000</v>
      </c>
      <c r="N17" s="108">
        <f t="shared" si="11"/>
        <v>4.2</v>
      </c>
      <c r="O17" s="108">
        <f t="shared" si="12"/>
        <v>1.2</v>
      </c>
      <c r="P17" s="216">
        <f t="shared" si="13"/>
        <v>5.4</v>
      </c>
      <c r="Q17" s="111">
        <f t="shared" si="30"/>
        <v>0.32305263157894737</v>
      </c>
      <c r="R17" s="106">
        <f t="shared" si="14"/>
        <v>6.0999999999999999E-2</v>
      </c>
      <c r="S17" s="110">
        <f>VLOOKUP($B17,WaterQuality, 85, FALSE)/1000</f>
        <v>0.32</v>
      </c>
      <c r="T17" s="110">
        <f t="shared" si="15"/>
        <v>1.2E-2</v>
      </c>
      <c r="U17" s="109">
        <f t="shared" si="16"/>
        <v>435</v>
      </c>
      <c r="V17" s="106" t="str">
        <f t="shared" si="17"/>
        <v>&lt;0.2</v>
      </c>
      <c r="W17" s="108">
        <f t="shared" si="18"/>
        <v>3.2</v>
      </c>
      <c r="X17" s="106">
        <f t="shared" si="19"/>
        <v>2.1</v>
      </c>
      <c r="Y17" s="106">
        <f t="shared" si="20"/>
        <v>0.99</v>
      </c>
      <c r="Z17" s="111">
        <f t="shared" si="21"/>
        <v>1.1100000000000001</v>
      </c>
      <c r="AA17" s="106">
        <f t="shared" si="22"/>
        <v>22</v>
      </c>
      <c r="AB17" s="110">
        <f t="shared" si="23"/>
        <v>0.72</v>
      </c>
      <c r="AC17" s="106" t="str">
        <f t="shared" si="24"/>
        <v>&lt;0.2</v>
      </c>
      <c r="AD17" s="109">
        <f t="shared" si="25"/>
        <v>36</v>
      </c>
      <c r="AE17" s="223">
        <v>1922007</v>
      </c>
      <c r="AF17" s="106">
        <f t="shared" si="26"/>
        <v>15</v>
      </c>
      <c r="AG17" s="106" t="str">
        <f t="shared" si="27"/>
        <v>&lt;0.2</v>
      </c>
      <c r="AH17" s="106" t="str">
        <f t="shared" si="28"/>
        <v>&lt;0.2</v>
      </c>
      <c r="AI17" s="308">
        <f t="shared" si="29"/>
        <v>18</v>
      </c>
    </row>
    <row r="18" spans="1:35" ht="24.95" customHeight="1" x14ac:dyDescent="0.3">
      <c r="A18" s="213" t="str">
        <f t="shared" si="0"/>
        <v>County of Orange</v>
      </c>
      <c r="B18" s="223">
        <v>1857001</v>
      </c>
      <c r="C18" s="266" t="s">
        <v>112</v>
      </c>
      <c r="D18" s="106" t="str">
        <f t="shared" si="1"/>
        <v>Horno Creek</v>
      </c>
      <c r="E18" s="307">
        <f t="shared" si="2"/>
        <v>7</v>
      </c>
      <c r="F18" s="107">
        <f t="shared" si="3"/>
        <v>44448.373611111114</v>
      </c>
      <c r="G18" s="111">
        <f t="shared" si="4"/>
        <v>1.008</v>
      </c>
      <c r="H18" s="109">
        <f t="shared" si="5"/>
        <v>2855.1</v>
      </c>
      <c r="I18" s="111">
        <f t="shared" si="6"/>
        <v>8.7100000000000009</v>
      </c>
      <c r="J18" s="108">
        <f t="shared" si="7"/>
        <v>2.8</v>
      </c>
      <c r="K18" s="110">
        <f t="shared" si="8"/>
        <v>8.0500000000000007</v>
      </c>
      <c r="L18" s="109">
        <f t="shared" si="9"/>
        <v>140</v>
      </c>
      <c r="M18" s="109" t="str">
        <f t="shared" si="10"/>
        <v>&gt;=500</v>
      </c>
      <c r="N18" s="110" t="str">
        <f t="shared" si="11"/>
        <v>&lt;0.1</v>
      </c>
      <c r="O18" s="108">
        <f t="shared" si="12"/>
        <v>3.6</v>
      </c>
      <c r="P18" s="216" t="s">
        <v>248</v>
      </c>
      <c r="Q18" s="111">
        <f t="shared" si="30"/>
        <v>0.42421052631578954</v>
      </c>
      <c r="R18" s="106">
        <f t="shared" si="14"/>
        <v>6.3E-2</v>
      </c>
      <c r="S18" s="110">
        <f t="shared" ref="S18:S27" si="31">VLOOKUP($B18,WaterQuality, 85, FALSE)/1000</f>
        <v>0.35</v>
      </c>
      <c r="T18" s="110">
        <f t="shared" si="15"/>
        <v>8.5000000000000006E-2</v>
      </c>
      <c r="U18" s="109">
        <f t="shared" si="16"/>
        <v>879</v>
      </c>
      <c r="V18" s="106">
        <f t="shared" si="17"/>
        <v>0.42</v>
      </c>
      <c r="W18" s="109">
        <f t="shared" si="18"/>
        <v>13</v>
      </c>
      <c r="X18" s="106">
        <f t="shared" si="19"/>
        <v>0.66</v>
      </c>
      <c r="Y18" s="106" t="str">
        <f t="shared" si="20"/>
        <v>&lt;0.02</v>
      </c>
      <c r="Z18" s="111" t="s">
        <v>249</v>
      </c>
      <c r="AA18" s="106">
        <f t="shared" si="22"/>
        <v>2.2999999999999998</v>
      </c>
      <c r="AB18" s="110" t="str">
        <f t="shared" si="23"/>
        <v>&lt;0.2</v>
      </c>
      <c r="AC18" s="106" t="str">
        <f t="shared" si="24"/>
        <v>&lt;0.2</v>
      </c>
      <c r="AD18" s="109" t="str">
        <f t="shared" si="25"/>
        <v>&lt;10</v>
      </c>
      <c r="AE18" s="223">
        <v>1857004</v>
      </c>
      <c r="AF18" s="106">
        <f t="shared" si="26"/>
        <v>1.3</v>
      </c>
      <c r="AG18" s="106" t="str">
        <f t="shared" si="27"/>
        <v>&lt;0.2</v>
      </c>
      <c r="AH18" s="106" t="str">
        <f t="shared" si="28"/>
        <v>&lt;0.2</v>
      </c>
      <c r="AI18" s="308" t="str">
        <f t="shared" si="29"/>
        <v>&lt;10</v>
      </c>
    </row>
    <row r="19" spans="1:35" ht="24.95" customHeight="1" x14ac:dyDescent="0.3">
      <c r="A19" s="213" t="str">
        <f t="shared" si="0"/>
        <v>County of Orange</v>
      </c>
      <c r="B19" s="223">
        <v>1857002</v>
      </c>
      <c r="C19" s="266" t="s">
        <v>113</v>
      </c>
      <c r="D19" s="106" t="str">
        <f t="shared" si="1"/>
        <v>Horno Creek</v>
      </c>
      <c r="E19" s="307">
        <f t="shared" si="2"/>
        <v>7</v>
      </c>
      <c r="F19" s="107">
        <f t="shared" si="3"/>
        <v>44448.417361111111</v>
      </c>
      <c r="G19" s="111">
        <f t="shared" si="4"/>
        <v>5.3333333333333344E-2</v>
      </c>
      <c r="H19" s="109">
        <f t="shared" si="5"/>
        <v>2779.7</v>
      </c>
      <c r="I19" s="111">
        <f t="shared" si="6"/>
        <v>7.41</v>
      </c>
      <c r="J19" s="108">
        <f t="shared" si="7"/>
        <v>0.96</v>
      </c>
      <c r="K19" s="110">
        <f t="shared" si="8"/>
        <v>8.44</v>
      </c>
      <c r="L19" s="109">
        <f t="shared" si="9"/>
        <v>8900</v>
      </c>
      <c r="M19" s="109" t="str">
        <f t="shared" si="10"/>
        <v>&gt;=32000</v>
      </c>
      <c r="N19" s="108" t="str">
        <f t="shared" si="11"/>
        <v>&lt;0.1</v>
      </c>
      <c r="O19" s="108">
        <f t="shared" si="12"/>
        <v>2.8</v>
      </c>
      <c r="P19" s="216" t="s">
        <v>250</v>
      </c>
      <c r="Q19" s="111">
        <f t="shared" si="30"/>
        <v>0.48947368421052634</v>
      </c>
      <c r="R19" s="106" t="str">
        <f t="shared" si="14"/>
        <v>&lt;0.05</v>
      </c>
      <c r="S19" s="110">
        <f t="shared" si="31"/>
        <v>6.4000000000000001E-2</v>
      </c>
      <c r="T19" s="110">
        <f t="shared" si="15"/>
        <v>6.8000000000000005E-2</v>
      </c>
      <c r="U19" s="109">
        <f t="shared" si="16"/>
        <v>832</v>
      </c>
      <c r="V19" s="106">
        <f t="shared" si="17"/>
        <v>1.8</v>
      </c>
      <c r="W19" s="109">
        <f t="shared" si="18"/>
        <v>16</v>
      </c>
      <c r="X19" s="112">
        <f t="shared" si="19"/>
        <v>2</v>
      </c>
      <c r="Y19" s="106">
        <f t="shared" si="20"/>
        <v>1.6</v>
      </c>
      <c r="Z19" s="111">
        <f t="shared" si="21"/>
        <v>0.39999999999999991</v>
      </c>
      <c r="AA19" s="106">
        <f t="shared" si="22"/>
        <v>7.2</v>
      </c>
      <c r="AB19" s="110" t="str">
        <f t="shared" si="23"/>
        <v>&lt;0.2</v>
      </c>
      <c r="AC19" s="106" t="str">
        <f t="shared" si="24"/>
        <v>&lt;0.2</v>
      </c>
      <c r="AD19" s="109">
        <f t="shared" si="25"/>
        <v>10</v>
      </c>
      <c r="AE19" s="223">
        <v>1857005</v>
      </c>
      <c r="AF19" s="106">
        <f t="shared" si="26"/>
        <v>4.0999999999999996</v>
      </c>
      <c r="AG19" s="106">
        <f t="shared" si="27"/>
        <v>0.2</v>
      </c>
      <c r="AH19" s="106" t="str">
        <f t="shared" si="28"/>
        <v>&lt;0.2</v>
      </c>
      <c r="AI19" s="308" t="str">
        <f t="shared" si="29"/>
        <v>&lt;10</v>
      </c>
    </row>
    <row r="20" spans="1:35" ht="24.95" customHeight="1" x14ac:dyDescent="0.3">
      <c r="A20" s="213" t="str">
        <f t="shared" si="0"/>
        <v>County of Orange</v>
      </c>
      <c r="B20" s="223">
        <v>1857003</v>
      </c>
      <c r="C20" s="266" t="s">
        <v>115</v>
      </c>
      <c r="D20" s="106" t="str">
        <f t="shared" si="1"/>
        <v xml:space="preserve">Arroyo Trabuco </v>
      </c>
      <c r="E20" s="307">
        <f t="shared" si="2"/>
        <v>7</v>
      </c>
      <c r="F20" s="107">
        <f t="shared" si="3"/>
        <v>44448.486111111109</v>
      </c>
      <c r="G20" s="111">
        <f t="shared" si="4"/>
        <v>0.24324999999999999</v>
      </c>
      <c r="H20" s="109">
        <f t="shared" si="5"/>
        <v>2577.5</v>
      </c>
      <c r="I20" s="111">
        <f t="shared" si="6"/>
        <v>6.64</v>
      </c>
      <c r="J20" s="110">
        <f t="shared" si="7"/>
        <v>0.97</v>
      </c>
      <c r="K20" s="110">
        <f t="shared" si="8"/>
        <v>7.7</v>
      </c>
      <c r="L20" s="109">
        <f t="shared" si="9"/>
        <v>2300</v>
      </c>
      <c r="M20" s="109" t="str">
        <f t="shared" si="10"/>
        <v>&gt;=6600</v>
      </c>
      <c r="N20" s="108" t="str">
        <f t="shared" si="11"/>
        <v>&lt;0.1</v>
      </c>
      <c r="O20" s="108">
        <f t="shared" si="12"/>
        <v>1</v>
      </c>
      <c r="P20" s="216" t="s">
        <v>251</v>
      </c>
      <c r="Q20" s="236">
        <f t="shared" si="30"/>
        <v>0.45684210526315788</v>
      </c>
      <c r="R20" s="106">
        <f t="shared" si="14"/>
        <v>0.05</v>
      </c>
      <c r="S20" s="110">
        <f t="shared" si="31"/>
        <v>5.3999999999999999E-2</v>
      </c>
      <c r="T20" s="110">
        <f t="shared" si="15"/>
        <v>0.15</v>
      </c>
      <c r="U20" s="109">
        <f t="shared" si="16"/>
        <v>909</v>
      </c>
      <c r="V20" s="112">
        <f t="shared" si="17"/>
        <v>1</v>
      </c>
      <c r="W20" s="108">
        <f t="shared" si="18"/>
        <v>7.2</v>
      </c>
      <c r="X20" s="106">
        <f t="shared" si="19"/>
        <v>0.31</v>
      </c>
      <c r="Y20" s="106" t="str">
        <f t="shared" si="20"/>
        <v>&lt;0.02</v>
      </c>
      <c r="Z20" s="111" t="s">
        <v>252</v>
      </c>
      <c r="AA20" s="106">
        <f t="shared" si="22"/>
        <v>3.4</v>
      </c>
      <c r="AB20" s="110" t="str">
        <f t="shared" si="23"/>
        <v>&lt;0.2</v>
      </c>
      <c r="AC20" s="106" t="str">
        <f t="shared" si="24"/>
        <v>&lt;0.2</v>
      </c>
      <c r="AD20" s="109">
        <f t="shared" si="25"/>
        <v>13</v>
      </c>
      <c r="AE20" s="223">
        <v>1857006</v>
      </c>
      <c r="AF20" s="112">
        <f t="shared" si="26"/>
        <v>3</v>
      </c>
      <c r="AG20" s="106" t="str">
        <f t="shared" si="27"/>
        <v>&lt;0.2</v>
      </c>
      <c r="AH20" s="106" t="str">
        <f t="shared" si="28"/>
        <v>&lt;0.2</v>
      </c>
      <c r="AI20" s="308">
        <f t="shared" si="29"/>
        <v>12</v>
      </c>
    </row>
    <row r="21" spans="1:35" ht="24.95" customHeight="1" x14ac:dyDescent="0.3">
      <c r="A21" s="213" t="str">
        <f t="shared" si="0"/>
        <v>Dana Point</v>
      </c>
      <c r="B21" s="223">
        <v>1913002</v>
      </c>
      <c r="C21" s="266" t="s">
        <v>116</v>
      </c>
      <c r="D21" s="106" t="str">
        <f t="shared" si="1"/>
        <v xml:space="preserve">San Juan Creek </v>
      </c>
      <c r="E21" s="307">
        <f t="shared" si="2"/>
        <v>7</v>
      </c>
      <c r="F21" s="107">
        <f t="shared" si="3"/>
        <v>44440.357638888891</v>
      </c>
      <c r="G21" s="114">
        <f t="shared" si="4"/>
        <v>1.5900000000000001E-3</v>
      </c>
      <c r="H21" s="109">
        <f t="shared" si="5"/>
        <v>1320</v>
      </c>
      <c r="I21" s="111">
        <f t="shared" si="6"/>
        <v>8.1300000000000008</v>
      </c>
      <c r="J21" s="108">
        <f t="shared" si="7"/>
        <v>6.9</v>
      </c>
      <c r="K21" s="110">
        <f t="shared" si="8"/>
        <v>8.75</v>
      </c>
      <c r="L21" s="109" t="str">
        <f t="shared" si="9"/>
        <v>&gt;=9100</v>
      </c>
      <c r="M21" s="109" t="str">
        <f t="shared" si="10"/>
        <v>&gt;=3e+06</v>
      </c>
      <c r="N21" s="110">
        <f t="shared" si="11"/>
        <v>0.69</v>
      </c>
      <c r="O21" s="108">
        <f t="shared" si="12"/>
        <v>2.1</v>
      </c>
      <c r="P21" s="216">
        <f t="shared" si="13"/>
        <v>2.79</v>
      </c>
      <c r="Q21" s="111">
        <f t="shared" si="30"/>
        <v>0.78315789473684205</v>
      </c>
      <c r="R21" s="106">
        <f t="shared" si="14"/>
        <v>8.8999999999999996E-2</v>
      </c>
      <c r="S21" s="110">
        <f t="shared" si="31"/>
        <v>0.74</v>
      </c>
      <c r="T21" s="110">
        <f t="shared" si="15"/>
        <v>4.2000000000000003E-2</v>
      </c>
      <c r="U21" s="109">
        <f t="shared" si="16"/>
        <v>333</v>
      </c>
      <c r="V21" s="106">
        <f t="shared" si="17"/>
        <v>0.25</v>
      </c>
      <c r="W21" s="108">
        <f t="shared" si="18"/>
        <v>4.5</v>
      </c>
      <c r="X21" s="112">
        <f t="shared" si="19"/>
        <v>1</v>
      </c>
      <c r="Y21" s="106">
        <f t="shared" si="20"/>
        <v>3.4000000000000002E-2</v>
      </c>
      <c r="Z21" s="111">
        <f t="shared" si="21"/>
        <v>0.96599999999999997</v>
      </c>
      <c r="AA21" s="106">
        <f t="shared" si="22"/>
        <v>31</v>
      </c>
      <c r="AB21" s="108">
        <f t="shared" si="23"/>
        <v>1.2</v>
      </c>
      <c r="AC21" s="106" t="str">
        <f t="shared" si="24"/>
        <v>&lt;0.2</v>
      </c>
      <c r="AD21" s="109">
        <f t="shared" si="25"/>
        <v>110</v>
      </c>
      <c r="AE21" s="223">
        <v>1913004</v>
      </c>
      <c r="AF21" s="106">
        <f t="shared" si="26"/>
        <v>4.9000000000000004</v>
      </c>
      <c r="AG21" s="106" t="str">
        <f t="shared" si="27"/>
        <v>&lt;0.2</v>
      </c>
      <c r="AH21" s="106" t="str">
        <f t="shared" si="28"/>
        <v>&lt;0.2</v>
      </c>
      <c r="AI21" s="308">
        <f t="shared" si="29"/>
        <v>23</v>
      </c>
    </row>
    <row r="22" spans="1:35" ht="24.95" customHeight="1" x14ac:dyDescent="0.3">
      <c r="A22" s="213" t="str">
        <f t="shared" si="0"/>
        <v>Dana Point</v>
      </c>
      <c r="B22" s="223"/>
      <c r="C22" s="105" t="s">
        <v>117</v>
      </c>
      <c r="D22" s="106" t="str">
        <f t="shared" si="1"/>
        <v xml:space="preserve">San Juan Creek </v>
      </c>
      <c r="E22" s="307" t="s">
        <v>231</v>
      </c>
      <c r="F22" s="107">
        <v>44440.40625</v>
      </c>
      <c r="G22" s="111">
        <v>0</v>
      </c>
      <c r="H22" s="272"/>
      <c r="I22" s="274"/>
      <c r="J22" s="272"/>
      <c r="K22" s="271"/>
      <c r="L22" s="272"/>
      <c r="M22" s="272"/>
      <c r="N22" s="272"/>
      <c r="O22" s="271"/>
      <c r="P22" s="279"/>
      <c r="Q22" s="274"/>
      <c r="R22" s="275"/>
      <c r="S22" s="271"/>
      <c r="T22" s="273"/>
      <c r="U22" s="272"/>
      <c r="V22" s="275"/>
      <c r="W22" s="271"/>
      <c r="X22" s="275"/>
      <c r="Y22" s="275"/>
      <c r="Z22" s="275"/>
      <c r="AA22" s="275"/>
      <c r="AB22" s="273"/>
      <c r="AC22" s="275"/>
      <c r="AD22" s="272"/>
      <c r="AE22" s="331"/>
      <c r="AF22" s="275"/>
      <c r="AG22" s="275"/>
      <c r="AH22" s="275"/>
      <c r="AI22" s="310"/>
    </row>
    <row r="23" spans="1:35" ht="24.95" customHeight="1" x14ac:dyDescent="0.3">
      <c r="A23" s="213" t="str">
        <f t="shared" si="0"/>
        <v>Laguna Beach</v>
      </c>
      <c r="B23" s="223">
        <v>1912001</v>
      </c>
      <c r="C23" s="266" t="s">
        <v>119</v>
      </c>
      <c r="D23" s="106" t="str">
        <f t="shared" si="1"/>
        <v xml:space="preserve">Blue Bird Canyon </v>
      </c>
      <c r="E23" s="307">
        <f t="shared" si="2"/>
        <v>6</v>
      </c>
      <c r="F23" s="107">
        <f t="shared" si="3"/>
        <v>44440.388194444444</v>
      </c>
      <c r="G23" s="111">
        <f t="shared" ref="G23:G29" si="32">VLOOKUP($C23, Flow_R2, 7, FALSE)</f>
        <v>1.0285714285714287E-2</v>
      </c>
      <c r="H23" s="109">
        <f t="shared" si="5"/>
        <v>10804</v>
      </c>
      <c r="I23" s="111">
        <f t="shared" si="6"/>
        <v>8.01</v>
      </c>
      <c r="J23" s="110">
        <f t="shared" si="7"/>
        <v>0.92</v>
      </c>
      <c r="K23" s="110">
        <f t="shared" si="8"/>
        <v>7.4</v>
      </c>
      <c r="L23" s="109">
        <f t="shared" si="9"/>
        <v>20</v>
      </c>
      <c r="M23" s="109" t="str">
        <f t="shared" si="10"/>
        <v>&gt;=2800</v>
      </c>
      <c r="N23" s="108" t="str">
        <f t="shared" si="11"/>
        <v>&lt;0.1</v>
      </c>
      <c r="O23" s="110">
        <f t="shared" si="12"/>
        <v>0.62</v>
      </c>
      <c r="P23" s="216" t="s">
        <v>251</v>
      </c>
      <c r="Q23" s="111">
        <f t="shared" si="30"/>
        <v>0.1696842105263158</v>
      </c>
      <c r="R23" s="106">
        <f t="shared" si="14"/>
        <v>7.0999999999999994E-2</v>
      </c>
      <c r="S23" s="110">
        <f t="shared" si="31"/>
        <v>0.2</v>
      </c>
      <c r="T23" s="110">
        <f t="shared" si="15"/>
        <v>9.6000000000000002E-2</v>
      </c>
      <c r="U23" s="109">
        <f t="shared" si="16"/>
        <v>3800</v>
      </c>
      <c r="V23" s="106" t="str">
        <f t="shared" si="17"/>
        <v>&lt;0.2</v>
      </c>
      <c r="W23" s="108">
        <f t="shared" si="18"/>
        <v>3.4</v>
      </c>
      <c r="X23" s="106">
        <f t="shared" si="19"/>
        <v>0.32</v>
      </c>
      <c r="Y23" s="106" t="str">
        <f t="shared" si="20"/>
        <v>&lt;0.02</v>
      </c>
      <c r="Z23" s="111" t="s">
        <v>253</v>
      </c>
      <c r="AA23" s="106">
        <f t="shared" si="22"/>
        <v>1.1000000000000001</v>
      </c>
      <c r="AB23" s="110" t="str">
        <f t="shared" si="23"/>
        <v>&lt;0.2</v>
      </c>
      <c r="AC23" s="106" t="str">
        <f t="shared" si="24"/>
        <v>&lt;0.2</v>
      </c>
      <c r="AD23" s="109" t="str">
        <f t="shared" si="25"/>
        <v>&lt;10</v>
      </c>
      <c r="AE23" s="223">
        <v>1912003</v>
      </c>
      <c r="AF23" s="106">
        <f t="shared" si="26"/>
        <v>1.1000000000000001</v>
      </c>
      <c r="AG23" s="106" t="str">
        <f t="shared" si="27"/>
        <v>&lt;0.2</v>
      </c>
      <c r="AH23" s="106" t="str">
        <f t="shared" si="28"/>
        <v>&lt;0.2</v>
      </c>
      <c r="AI23" s="308" t="str">
        <f t="shared" si="29"/>
        <v>&lt;10</v>
      </c>
    </row>
    <row r="24" spans="1:35" ht="24.95" customHeight="1" x14ac:dyDescent="0.3">
      <c r="A24" s="213" t="str">
        <f t="shared" si="0"/>
        <v>Laguna Beach</v>
      </c>
      <c r="B24" s="223">
        <v>1912002</v>
      </c>
      <c r="C24" s="266" t="s">
        <v>123</v>
      </c>
      <c r="D24" s="106" t="str">
        <f t="shared" si="1"/>
        <v>Laguna Canyon Coastal Streams</v>
      </c>
      <c r="E24" s="307">
        <f t="shared" si="2"/>
        <v>6</v>
      </c>
      <c r="F24" s="107">
        <f t="shared" si="3"/>
        <v>44440.431944444441</v>
      </c>
      <c r="G24" s="111">
        <f t="shared" si="32"/>
        <v>6.0000000000000001E-3</v>
      </c>
      <c r="H24" s="109">
        <f t="shared" si="5"/>
        <v>7011.65</v>
      </c>
      <c r="I24" s="111">
        <f t="shared" si="6"/>
        <v>7.46</v>
      </c>
      <c r="J24" s="110">
        <f t="shared" si="7"/>
        <v>0.54</v>
      </c>
      <c r="K24" s="110">
        <f t="shared" si="8"/>
        <v>7.83</v>
      </c>
      <c r="L24" s="109">
        <f t="shared" si="9"/>
        <v>680</v>
      </c>
      <c r="M24" s="109" t="str">
        <f t="shared" si="10"/>
        <v>&gt;=42000</v>
      </c>
      <c r="N24" s="110">
        <f t="shared" si="11"/>
        <v>0.45</v>
      </c>
      <c r="O24" s="110" t="str">
        <f t="shared" si="12"/>
        <v>&lt;0.4</v>
      </c>
      <c r="P24" s="216" t="s">
        <v>251</v>
      </c>
      <c r="Q24" s="111">
        <f t="shared" si="30"/>
        <v>0.25126315789473685</v>
      </c>
      <c r="R24" s="106">
        <f t="shared" si="14"/>
        <v>7.2999999999999995E-2</v>
      </c>
      <c r="S24" s="110" t="s">
        <v>230</v>
      </c>
      <c r="T24" s="110">
        <f t="shared" si="15"/>
        <v>3.2000000000000001E-2</v>
      </c>
      <c r="U24" s="109">
        <f t="shared" si="16"/>
        <v>2020</v>
      </c>
      <c r="V24" s="106" t="str">
        <f t="shared" si="17"/>
        <v>&lt;0.2</v>
      </c>
      <c r="W24" s="108" t="str">
        <f t="shared" si="18"/>
        <v>&lt;2</v>
      </c>
      <c r="X24" s="106" t="str">
        <f t="shared" si="19"/>
        <v>&lt;0.2</v>
      </c>
      <c r="Y24" s="106" t="str">
        <f t="shared" si="20"/>
        <v>&lt;0.02</v>
      </c>
      <c r="Z24" s="111" t="s">
        <v>254</v>
      </c>
      <c r="AA24" s="112">
        <f t="shared" si="22"/>
        <v>4.9000000000000004</v>
      </c>
      <c r="AB24" s="110">
        <f t="shared" si="23"/>
        <v>0.39</v>
      </c>
      <c r="AC24" s="106" t="str">
        <f t="shared" si="24"/>
        <v>&lt;0.2</v>
      </c>
      <c r="AD24" s="109" t="str">
        <f t="shared" si="25"/>
        <v>&lt;10</v>
      </c>
      <c r="AE24" s="223">
        <v>1912004</v>
      </c>
      <c r="AF24" s="106">
        <f t="shared" si="26"/>
        <v>3.6</v>
      </c>
      <c r="AG24" s="106">
        <f t="shared" si="27"/>
        <v>0.28000000000000003</v>
      </c>
      <c r="AH24" s="106" t="str">
        <f t="shared" si="28"/>
        <v>&lt;0.2</v>
      </c>
      <c r="AI24" s="308" t="str">
        <f t="shared" si="29"/>
        <v>&lt;10</v>
      </c>
    </row>
    <row r="25" spans="1:35" ht="24.95" customHeight="1" x14ac:dyDescent="0.3">
      <c r="A25" s="213" t="str">
        <f t="shared" si="0"/>
        <v>Laguna Niguel</v>
      </c>
      <c r="B25" s="223">
        <v>1911001</v>
      </c>
      <c r="C25" s="266" t="s">
        <v>127</v>
      </c>
      <c r="D25" s="106" t="str">
        <f t="shared" si="1"/>
        <v>Salt Creek</v>
      </c>
      <c r="E25" s="307">
        <f t="shared" si="2"/>
        <v>6</v>
      </c>
      <c r="F25" s="107">
        <f t="shared" si="3"/>
        <v>44439.415277777778</v>
      </c>
      <c r="G25" s="111">
        <f t="shared" si="32"/>
        <v>0.22000000000000006</v>
      </c>
      <c r="H25" s="109">
        <f t="shared" si="5"/>
        <v>2840</v>
      </c>
      <c r="I25" s="111">
        <f t="shared" si="6"/>
        <v>8.52</v>
      </c>
      <c r="J25" s="108">
        <f t="shared" si="7"/>
        <v>2.2999999999999998</v>
      </c>
      <c r="K25" s="110">
        <f t="shared" si="8"/>
        <v>7.67</v>
      </c>
      <c r="L25" s="109">
        <f t="shared" si="9"/>
        <v>30000</v>
      </c>
      <c r="M25" s="109" t="str">
        <f t="shared" si="10"/>
        <v>&gt;=49000</v>
      </c>
      <c r="N25" s="108">
        <f t="shared" si="11"/>
        <v>5.3</v>
      </c>
      <c r="O25" s="110">
        <f t="shared" si="12"/>
        <v>1.1000000000000001</v>
      </c>
      <c r="P25" s="216">
        <f>3.4+0.4</f>
        <v>3.8</v>
      </c>
      <c r="Q25" s="111">
        <f t="shared" si="30"/>
        <v>0.39157894736842103</v>
      </c>
      <c r="R25" s="106">
        <f t="shared" si="14"/>
        <v>5.2999999999999999E-2</v>
      </c>
      <c r="S25" s="110">
        <f t="shared" si="31"/>
        <v>0.14000000000000001</v>
      </c>
      <c r="T25" s="110">
        <f t="shared" si="15"/>
        <v>3.9E-2</v>
      </c>
      <c r="U25" s="109">
        <f t="shared" si="16"/>
        <v>720</v>
      </c>
      <c r="V25" s="106">
        <f t="shared" si="17"/>
        <v>0.35</v>
      </c>
      <c r="W25" s="108">
        <f t="shared" si="18"/>
        <v>7.1</v>
      </c>
      <c r="X25" s="106">
        <f t="shared" si="19"/>
        <v>0.4</v>
      </c>
      <c r="Y25" s="106">
        <f t="shared" si="20"/>
        <v>0.13</v>
      </c>
      <c r="Z25" s="111">
        <f t="shared" si="21"/>
        <v>0.27</v>
      </c>
      <c r="AA25" s="106">
        <f t="shared" si="22"/>
        <v>13</v>
      </c>
      <c r="AB25" s="110" t="str">
        <f t="shared" si="23"/>
        <v>&lt;0.2</v>
      </c>
      <c r="AC25" s="106" t="str">
        <f t="shared" si="24"/>
        <v>&lt;0.2</v>
      </c>
      <c r="AD25" s="109">
        <f t="shared" si="25"/>
        <v>11</v>
      </c>
      <c r="AE25" s="223">
        <v>1858006</v>
      </c>
      <c r="AF25" s="106">
        <f t="shared" si="26"/>
        <v>6.2</v>
      </c>
      <c r="AG25" s="111">
        <f t="shared" si="27"/>
        <v>0.2</v>
      </c>
      <c r="AH25" s="106" t="str">
        <f t="shared" si="28"/>
        <v>&lt;0.2</v>
      </c>
      <c r="AI25" s="308">
        <f t="shared" si="29"/>
        <v>26</v>
      </c>
    </row>
    <row r="26" spans="1:35" ht="24.95" customHeight="1" x14ac:dyDescent="0.3">
      <c r="A26" s="213" t="str">
        <f t="shared" si="0"/>
        <v>Laguna Niguel</v>
      </c>
      <c r="B26" s="223">
        <v>1911002</v>
      </c>
      <c r="C26" s="266" t="s">
        <v>125</v>
      </c>
      <c r="D26" s="106" t="str">
        <f t="shared" si="1"/>
        <v>Salt Creek</v>
      </c>
      <c r="E26" s="307" t="s">
        <v>232</v>
      </c>
      <c r="F26" s="107">
        <f t="shared" si="3"/>
        <v>44439.448611111111</v>
      </c>
      <c r="G26" s="124">
        <f>VLOOKUP($C26, Flow_R2, 8, FALSE)</f>
        <v>0.35399999999999998</v>
      </c>
      <c r="H26" s="109">
        <f t="shared" si="5"/>
        <v>4319</v>
      </c>
      <c r="I26" s="111">
        <f t="shared" si="6"/>
        <v>5.27</v>
      </c>
      <c r="J26" s="108">
        <f t="shared" si="7"/>
        <v>1.8</v>
      </c>
      <c r="K26" s="110">
        <f t="shared" si="8"/>
        <v>7.27</v>
      </c>
      <c r="L26" s="109">
        <f t="shared" si="9"/>
        <v>580</v>
      </c>
      <c r="M26" s="109" t="str">
        <f t="shared" si="10"/>
        <v>&gt;=33000</v>
      </c>
      <c r="N26" s="108">
        <f t="shared" si="11"/>
        <v>5.0999999999999996</v>
      </c>
      <c r="O26" s="108">
        <f t="shared" si="12"/>
        <v>1.7</v>
      </c>
      <c r="P26" s="216">
        <f t="shared" ref="P26" si="33">N26+O26</f>
        <v>6.8</v>
      </c>
      <c r="Q26" s="111">
        <f t="shared" si="30"/>
        <v>0.39157894736842103</v>
      </c>
      <c r="R26" s="106">
        <f t="shared" si="14"/>
        <v>6.3E-2</v>
      </c>
      <c r="S26" s="110">
        <f t="shared" si="31"/>
        <v>0.15</v>
      </c>
      <c r="T26" s="110">
        <f t="shared" si="15"/>
        <v>4.2000000000000003E-2</v>
      </c>
      <c r="U26" s="109">
        <f t="shared" si="16"/>
        <v>1330</v>
      </c>
      <c r="V26" s="106">
        <f t="shared" si="17"/>
        <v>0.34</v>
      </c>
      <c r="W26" s="108">
        <f t="shared" si="18"/>
        <v>7</v>
      </c>
      <c r="X26" s="106">
        <f t="shared" si="19"/>
        <v>0.24</v>
      </c>
      <c r="Y26" s="106" t="str">
        <f t="shared" si="20"/>
        <v>&lt;0.02</v>
      </c>
      <c r="Z26" s="111" t="s">
        <v>255</v>
      </c>
      <c r="AA26" s="106">
        <f t="shared" si="22"/>
        <v>4.8</v>
      </c>
      <c r="AB26" s="110" t="str">
        <f t="shared" si="23"/>
        <v>&lt;0.2</v>
      </c>
      <c r="AC26" s="106" t="str">
        <f t="shared" si="24"/>
        <v>&lt;0.2</v>
      </c>
      <c r="AD26" s="109" t="str">
        <f t="shared" si="25"/>
        <v>&lt;10</v>
      </c>
      <c r="AE26" s="223">
        <v>1911004</v>
      </c>
      <c r="AF26" s="106">
        <f t="shared" si="26"/>
        <v>3.6</v>
      </c>
      <c r="AG26" s="106" t="str">
        <f t="shared" si="27"/>
        <v>&lt;0.2</v>
      </c>
      <c r="AH26" s="106" t="str">
        <f t="shared" si="28"/>
        <v>&lt;0.2</v>
      </c>
      <c r="AI26" s="308" t="str">
        <f t="shared" si="29"/>
        <v>&lt;10</v>
      </c>
    </row>
    <row r="27" spans="1:35" ht="24.95" customHeight="1" x14ac:dyDescent="0.3">
      <c r="A27" s="213" t="str">
        <f t="shared" si="0"/>
        <v>Laguna Niguel</v>
      </c>
      <c r="B27" s="223">
        <v>1934001</v>
      </c>
      <c r="C27" s="266" t="s">
        <v>124</v>
      </c>
      <c r="D27" s="106" t="str">
        <f t="shared" si="1"/>
        <v>Oso Creek</v>
      </c>
      <c r="E27" s="307">
        <f t="shared" si="2"/>
        <v>7</v>
      </c>
      <c r="F27" s="107">
        <f t="shared" si="3"/>
        <v>44452.352083333331</v>
      </c>
      <c r="G27" s="111">
        <f t="shared" si="32"/>
        <v>0.156</v>
      </c>
      <c r="H27" s="109">
        <f t="shared" si="5"/>
        <v>2485</v>
      </c>
      <c r="I27" s="111">
        <f t="shared" si="6"/>
        <v>7.02</v>
      </c>
      <c r="J27" s="108">
        <f t="shared" si="7"/>
        <v>2.1</v>
      </c>
      <c r="K27" s="110">
        <f t="shared" si="8"/>
        <v>8.4</v>
      </c>
      <c r="L27" s="109" t="str">
        <f t="shared" si="9"/>
        <v>&gt;=24000</v>
      </c>
      <c r="M27" s="109" t="str">
        <f t="shared" si="10"/>
        <v>&gt;=150000</v>
      </c>
      <c r="N27" s="108" t="str">
        <f t="shared" si="11"/>
        <v>&lt;0.1</v>
      </c>
      <c r="O27" s="108">
        <f t="shared" si="12"/>
        <v>5.2</v>
      </c>
      <c r="P27" s="216" t="s">
        <v>256</v>
      </c>
      <c r="Q27" s="111">
        <f t="shared" si="30"/>
        <v>0.65263157894736845</v>
      </c>
      <c r="R27" s="111">
        <f t="shared" si="14"/>
        <v>0.1</v>
      </c>
      <c r="S27" s="110">
        <f t="shared" si="31"/>
        <v>0.11</v>
      </c>
      <c r="T27" s="110">
        <f t="shared" si="15"/>
        <v>3.7999999999999999E-2</v>
      </c>
      <c r="U27" s="109">
        <f t="shared" si="16"/>
        <v>769</v>
      </c>
      <c r="V27" s="111">
        <f t="shared" si="17"/>
        <v>0.82</v>
      </c>
      <c r="W27" s="108">
        <f t="shared" si="18"/>
        <v>8.1999999999999993</v>
      </c>
      <c r="X27" s="106">
        <f t="shared" si="19"/>
        <v>0.31</v>
      </c>
      <c r="Y27" s="106">
        <f t="shared" si="20"/>
        <v>6.2E-2</v>
      </c>
      <c r="Z27" s="111">
        <f t="shared" si="21"/>
        <v>0.248</v>
      </c>
      <c r="AA27" s="106">
        <f t="shared" si="22"/>
        <v>5.6</v>
      </c>
      <c r="AB27" s="110">
        <f t="shared" si="23"/>
        <v>0.71</v>
      </c>
      <c r="AC27" s="106" t="str">
        <f t="shared" si="24"/>
        <v>&lt;0.2</v>
      </c>
      <c r="AD27" s="109">
        <f t="shared" si="25"/>
        <v>34</v>
      </c>
      <c r="AE27" s="223">
        <v>1934005</v>
      </c>
      <c r="AF27" s="106">
        <f t="shared" si="26"/>
        <v>2.9</v>
      </c>
      <c r="AG27" s="106" t="str">
        <f t="shared" si="27"/>
        <v>&lt;0.2</v>
      </c>
      <c r="AH27" s="106" t="str">
        <f t="shared" si="28"/>
        <v>&lt;0.2</v>
      </c>
      <c r="AI27" s="308">
        <f t="shared" si="29"/>
        <v>23</v>
      </c>
    </row>
    <row r="28" spans="1:35" ht="24.95" customHeight="1" x14ac:dyDescent="0.3">
      <c r="A28" s="213" t="str">
        <f t="shared" si="0"/>
        <v>Laguna Niguel</v>
      </c>
      <c r="B28" s="223">
        <v>1934002</v>
      </c>
      <c r="C28" s="266" t="s">
        <v>130</v>
      </c>
      <c r="D28" s="106" t="str">
        <f t="shared" si="1"/>
        <v>Aliso Creek</v>
      </c>
      <c r="E28" s="307">
        <f t="shared" si="2"/>
        <v>6</v>
      </c>
      <c r="F28" s="107">
        <f t="shared" si="3"/>
        <v>44452.406944444447</v>
      </c>
      <c r="G28" s="114">
        <f>VLOOKUP($C28, Flow_R2, 8, FALSE)</f>
        <v>3.0000000000000001E-3</v>
      </c>
      <c r="H28" s="109">
        <f t="shared" si="5"/>
        <v>3501</v>
      </c>
      <c r="I28" s="111">
        <f t="shared" si="6"/>
        <v>6.5</v>
      </c>
      <c r="J28" s="108">
        <f t="shared" si="7"/>
        <v>2.9</v>
      </c>
      <c r="K28" s="110">
        <f t="shared" si="8"/>
        <v>8.15</v>
      </c>
      <c r="L28" s="109">
        <f t="shared" si="9"/>
        <v>280</v>
      </c>
      <c r="M28" s="109" t="str">
        <f t="shared" si="10"/>
        <v>&gt;=6000</v>
      </c>
      <c r="N28" s="108" t="str">
        <f t="shared" si="11"/>
        <v>&lt;0.1</v>
      </c>
      <c r="O28" s="110">
        <f t="shared" si="12"/>
        <v>0.39</v>
      </c>
      <c r="P28" s="216" t="s">
        <v>257</v>
      </c>
      <c r="Q28" s="111">
        <f t="shared" si="30"/>
        <v>0.26431578947368423</v>
      </c>
      <c r="R28" s="106" t="str">
        <f t="shared" si="14"/>
        <v>&lt;0.05</v>
      </c>
      <c r="S28" s="110">
        <f t="shared" ref="S28:S30" si="34">VLOOKUP($B28,WaterQuality, 85, FALSE)/1000</f>
        <v>0.49</v>
      </c>
      <c r="T28" s="110">
        <f t="shared" si="15"/>
        <v>0.33</v>
      </c>
      <c r="U28" s="109">
        <f t="shared" si="16"/>
        <v>1130</v>
      </c>
      <c r="V28" s="106">
        <f t="shared" si="17"/>
        <v>1.5</v>
      </c>
      <c r="W28" s="109">
        <f t="shared" si="18"/>
        <v>11</v>
      </c>
      <c r="X28" s="106">
        <f t="shared" si="19"/>
        <v>0.38</v>
      </c>
      <c r="Y28" s="106">
        <f t="shared" si="20"/>
        <v>3.5999999999999997E-2</v>
      </c>
      <c r="Z28" s="111">
        <f t="shared" si="21"/>
        <v>0.34400000000000003</v>
      </c>
      <c r="AA28" s="106">
        <f t="shared" si="22"/>
        <v>2.7</v>
      </c>
      <c r="AB28" s="110">
        <f t="shared" si="23"/>
        <v>0.34</v>
      </c>
      <c r="AC28" s="106" t="str">
        <f t="shared" si="24"/>
        <v>&lt;0.2</v>
      </c>
      <c r="AD28" s="109">
        <f t="shared" si="25"/>
        <v>22</v>
      </c>
      <c r="AE28" s="223">
        <v>1934006</v>
      </c>
      <c r="AF28" s="106">
        <f t="shared" si="26"/>
        <v>1.2</v>
      </c>
      <c r="AG28" s="106" t="str">
        <f t="shared" si="27"/>
        <v>&lt;0.2</v>
      </c>
      <c r="AH28" s="106" t="str">
        <f t="shared" si="28"/>
        <v>&lt;0.2</v>
      </c>
      <c r="AI28" s="308" t="str">
        <f t="shared" si="29"/>
        <v>&lt;10</v>
      </c>
    </row>
    <row r="29" spans="1:35" ht="24.95" customHeight="1" x14ac:dyDescent="0.3">
      <c r="A29" s="213" t="str">
        <f t="shared" si="0"/>
        <v>Laguna Niguel</v>
      </c>
      <c r="B29" s="223">
        <v>1934003</v>
      </c>
      <c r="C29" s="266" t="s">
        <v>132</v>
      </c>
      <c r="D29" s="106" t="str">
        <f t="shared" si="1"/>
        <v>Aliso Creek</v>
      </c>
      <c r="E29" s="307">
        <f t="shared" si="2"/>
        <v>6</v>
      </c>
      <c r="F29" s="107">
        <f t="shared" si="3"/>
        <v>44452.428472222222</v>
      </c>
      <c r="G29" s="111">
        <f t="shared" si="32"/>
        <v>5.9999999999999991E-2</v>
      </c>
      <c r="H29" s="109">
        <f t="shared" si="5"/>
        <v>2479</v>
      </c>
      <c r="I29" s="111">
        <f t="shared" si="6"/>
        <v>5.34</v>
      </c>
      <c r="J29" s="110">
        <f t="shared" si="7"/>
        <v>0.63</v>
      </c>
      <c r="K29" s="110">
        <f t="shared" si="8"/>
        <v>7.89</v>
      </c>
      <c r="L29" s="109">
        <f t="shared" si="9"/>
        <v>9</v>
      </c>
      <c r="M29" s="109" t="str">
        <f t="shared" si="10"/>
        <v>&gt;=570</v>
      </c>
      <c r="N29" s="108" t="str">
        <f t="shared" si="11"/>
        <v>&lt;0.1</v>
      </c>
      <c r="O29" s="110">
        <f t="shared" si="12"/>
        <v>0.27</v>
      </c>
      <c r="P29" s="216" t="s">
        <v>258</v>
      </c>
      <c r="Q29" s="111">
        <f t="shared" si="30"/>
        <v>0.2806315789473684</v>
      </c>
      <c r="R29" s="106" t="str">
        <f t="shared" si="14"/>
        <v>&lt;0.05</v>
      </c>
      <c r="S29" s="110">
        <f t="shared" si="34"/>
        <v>4.9000000000000002E-2</v>
      </c>
      <c r="T29" s="110">
        <f t="shared" si="15"/>
        <v>0.18</v>
      </c>
      <c r="U29" s="109">
        <f t="shared" si="16"/>
        <v>618</v>
      </c>
      <c r="V29" s="106">
        <f t="shared" si="17"/>
        <v>0.61</v>
      </c>
      <c r="W29" s="108">
        <f t="shared" si="18"/>
        <v>2.9</v>
      </c>
      <c r="X29" s="106" t="str">
        <f t="shared" si="19"/>
        <v>&lt;0.2</v>
      </c>
      <c r="Y29" s="106" t="str">
        <f t="shared" si="20"/>
        <v>&lt;0.02</v>
      </c>
      <c r="Z29" s="111" t="s">
        <v>254</v>
      </c>
      <c r="AA29" s="106">
        <f t="shared" si="22"/>
        <v>0.53</v>
      </c>
      <c r="AB29" s="110" t="str">
        <f t="shared" si="23"/>
        <v>&lt;0.2</v>
      </c>
      <c r="AC29" s="106" t="str">
        <f t="shared" si="24"/>
        <v>&lt;0.2</v>
      </c>
      <c r="AD29" s="109" t="str">
        <f t="shared" si="25"/>
        <v>&lt;10</v>
      </c>
      <c r="AE29" s="223">
        <v>1934007</v>
      </c>
      <c r="AF29" s="106">
        <f t="shared" si="26"/>
        <v>0.66</v>
      </c>
      <c r="AG29" s="106">
        <f t="shared" si="27"/>
        <v>0.28000000000000003</v>
      </c>
      <c r="AH29" s="106" t="str">
        <f t="shared" si="28"/>
        <v>&lt;0.2</v>
      </c>
      <c r="AI29" s="308" t="str">
        <f t="shared" si="29"/>
        <v>&lt;10</v>
      </c>
    </row>
    <row r="30" spans="1:35" ht="24.95" customHeight="1" x14ac:dyDescent="0.3">
      <c r="A30" s="213" t="str">
        <f t="shared" si="0"/>
        <v>Laguna Niguel</v>
      </c>
      <c r="B30" s="223">
        <v>1934004</v>
      </c>
      <c r="C30" s="266" t="s">
        <v>128</v>
      </c>
      <c r="D30" s="106" t="str">
        <f t="shared" si="1"/>
        <v>Sulphur Creek</v>
      </c>
      <c r="E30" s="307">
        <f t="shared" si="2"/>
        <v>6</v>
      </c>
      <c r="F30" s="107">
        <f t="shared" si="3"/>
        <v>44452.456250000003</v>
      </c>
      <c r="G30" s="111">
        <f>VLOOKUP($C30, Flow_R2, 8, FALSE)</f>
        <v>8.7999999999999995E-2</v>
      </c>
      <c r="H30" s="109">
        <f t="shared" si="5"/>
        <v>4282</v>
      </c>
      <c r="I30" s="111">
        <f t="shared" si="6"/>
        <v>7.36</v>
      </c>
      <c r="J30" s="110">
        <f t="shared" si="7"/>
        <v>0.94</v>
      </c>
      <c r="K30" s="110">
        <f t="shared" si="8"/>
        <v>8.2899999999999991</v>
      </c>
      <c r="L30" s="109">
        <f t="shared" si="9"/>
        <v>200</v>
      </c>
      <c r="M30" s="109" t="str">
        <f t="shared" si="10"/>
        <v>&gt;=3800</v>
      </c>
      <c r="N30" s="110" t="str">
        <f t="shared" si="11"/>
        <v>&lt;0.1</v>
      </c>
      <c r="O30" s="108">
        <f t="shared" si="12"/>
        <v>2.2999999999999998</v>
      </c>
      <c r="P30" s="124" t="s">
        <v>259</v>
      </c>
      <c r="Q30" s="111">
        <f t="shared" si="30"/>
        <v>0.32631578947368423</v>
      </c>
      <c r="R30" s="106" t="str">
        <f t="shared" si="14"/>
        <v>&lt;0.05</v>
      </c>
      <c r="S30" s="110">
        <f t="shared" si="34"/>
        <v>9.0999999999999998E-2</v>
      </c>
      <c r="T30" s="110">
        <f t="shared" si="15"/>
        <v>0.74</v>
      </c>
      <c r="U30" s="109">
        <f t="shared" si="16"/>
        <v>1840</v>
      </c>
      <c r="V30" s="106">
        <f t="shared" si="17"/>
        <v>11</v>
      </c>
      <c r="W30" s="109">
        <f t="shared" si="18"/>
        <v>48</v>
      </c>
      <c r="X30" s="106">
        <f t="shared" si="19"/>
        <v>0.26</v>
      </c>
      <c r="Y30" s="106" t="str">
        <f t="shared" si="20"/>
        <v>&lt;0.02</v>
      </c>
      <c r="Z30" s="111" t="s">
        <v>260</v>
      </c>
      <c r="AA30" s="106">
        <f t="shared" si="22"/>
        <v>3.2</v>
      </c>
      <c r="AB30" s="110" t="str">
        <f t="shared" si="23"/>
        <v>&lt;0.2</v>
      </c>
      <c r="AC30" s="106" t="str">
        <f t="shared" si="24"/>
        <v>&lt;0.2</v>
      </c>
      <c r="AD30" s="109">
        <f t="shared" si="25"/>
        <v>21</v>
      </c>
      <c r="AE30" s="223">
        <v>1934008</v>
      </c>
      <c r="AF30" s="106">
        <f t="shared" si="26"/>
        <v>3.2</v>
      </c>
      <c r="AG30" s="106" t="str">
        <f t="shared" si="27"/>
        <v>&lt;0.2</v>
      </c>
      <c r="AH30" s="106" t="str">
        <f t="shared" si="28"/>
        <v>&lt;0.2</v>
      </c>
      <c r="AI30" s="308">
        <f t="shared" si="29"/>
        <v>20</v>
      </c>
    </row>
    <row r="31" spans="1:35" ht="24.95" customHeight="1" x14ac:dyDescent="0.3">
      <c r="A31" s="213" t="str">
        <f t="shared" si="0"/>
        <v>Laguna Woods</v>
      </c>
      <c r="B31" s="223"/>
      <c r="C31" s="262" t="s">
        <v>134</v>
      </c>
      <c r="D31" s="106" t="str">
        <f t="shared" si="1"/>
        <v>Aliso Creek</v>
      </c>
      <c r="E31" s="307">
        <f t="shared" si="2"/>
        <v>6</v>
      </c>
      <c r="F31" s="107">
        <v>44439.342361111114</v>
      </c>
      <c r="G31" s="117">
        <v>0</v>
      </c>
      <c r="H31" s="274"/>
      <c r="I31" s="272"/>
      <c r="J31" s="271"/>
      <c r="K31" s="272"/>
      <c r="L31" s="272"/>
      <c r="M31" s="272"/>
      <c r="N31" s="271"/>
      <c r="O31" s="279"/>
      <c r="P31" s="274"/>
      <c r="Q31" s="275"/>
      <c r="R31" s="271"/>
      <c r="S31" s="273"/>
      <c r="T31" s="272"/>
      <c r="U31" s="275"/>
      <c r="V31" s="271"/>
      <c r="W31" s="275"/>
      <c r="X31" s="275"/>
      <c r="Y31" s="275"/>
      <c r="Z31" s="275"/>
      <c r="AA31" s="273"/>
      <c r="AB31" s="275"/>
      <c r="AC31" s="272"/>
      <c r="AD31" s="272"/>
      <c r="AE31" s="331"/>
      <c r="AF31" s="275"/>
      <c r="AG31" s="275"/>
      <c r="AH31" s="275"/>
      <c r="AI31" s="310"/>
    </row>
    <row r="32" spans="1:35" ht="24.95" customHeight="1" x14ac:dyDescent="0.3">
      <c r="A32" s="213" t="str">
        <f t="shared" si="0"/>
        <v>Laguna Woods</v>
      </c>
      <c r="B32" s="223"/>
      <c r="C32" s="264" t="s">
        <v>136</v>
      </c>
      <c r="D32" s="106" t="str">
        <f t="shared" si="1"/>
        <v>Barbara's Lake</v>
      </c>
      <c r="E32" s="307" t="s">
        <v>233</v>
      </c>
      <c r="F32" s="107">
        <v>44439.5</v>
      </c>
      <c r="G32" s="117">
        <v>0</v>
      </c>
      <c r="H32" s="274"/>
      <c r="I32" s="272"/>
      <c r="J32" s="271"/>
      <c r="K32" s="272"/>
      <c r="L32" s="272"/>
      <c r="M32" s="272"/>
      <c r="N32" s="271"/>
      <c r="O32" s="279"/>
      <c r="P32" s="274"/>
      <c r="Q32" s="275"/>
      <c r="R32" s="271"/>
      <c r="S32" s="273"/>
      <c r="T32" s="272"/>
      <c r="U32" s="275"/>
      <c r="V32" s="271"/>
      <c r="W32" s="275"/>
      <c r="X32" s="275"/>
      <c r="Y32" s="275"/>
      <c r="Z32" s="275"/>
      <c r="AA32" s="273"/>
      <c r="AB32" s="275"/>
      <c r="AC32" s="272"/>
      <c r="AD32" s="272"/>
      <c r="AE32" s="331"/>
      <c r="AF32" s="275"/>
      <c r="AG32" s="275"/>
      <c r="AH32" s="275"/>
      <c r="AI32" s="310"/>
    </row>
    <row r="33" spans="1:36" ht="24.95" customHeight="1" x14ac:dyDescent="0.3">
      <c r="A33" s="213" t="str">
        <f t="shared" si="0"/>
        <v>Laguna Woods</v>
      </c>
      <c r="B33" s="223">
        <v>1858005</v>
      </c>
      <c r="C33" s="266" t="s">
        <v>133</v>
      </c>
      <c r="D33" s="106" t="str">
        <f t="shared" si="1"/>
        <v>Barbara's Lake</v>
      </c>
      <c r="E33" s="307" t="s">
        <v>234</v>
      </c>
      <c r="F33" s="107">
        <f t="shared" si="3"/>
        <v>44439.410416666666</v>
      </c>
      <c r="G33" s="114">
        <f t="shared" ref="G33:G37" si="35">VLOOKUP($C33, Flow_R2, 7, FALSE)</f>
        <v>4.7142857142857143E-3</v>
      </c>
      <c r="H33" s="109">
        <f t="shared" si="5"/>
        <v>2605.3000000000002</v>
      </c>
      <c r="I33" s="111">
        <f t="shared" si="6"/>
        <v>6.37</v>
      </c>
      <c r="J33" s="108">
        <f t="shared" si="7"/>
        <v>4.2</v>
      </c>
      <c r="K33" s="110">
        <f t="shared" si="8"/>
        <v>7.87</v>
      </c>
      <c r="L33" s="109" t="str">
        <f t="shared" si="9"/>
        <v>&gt;=2100</v>
      </c>
      <c r="M33" s="109" t="str">
        <f t="shared" si="10"/>
        <v>&gt;=51000</v>
      </c>
      <c r="N33" s="109">
        <f t="shared" si="11"/>
        <v>12</v>
      </c>
      <c r="O33" s="108">
        <f t="shared" si="12"/>
        <v>2.8</v>
      </c>
      <c r="P33" s="235">
        <f t="shared" ref="P33" si="36">N33+O33</f>
        <v>14.8</v>
      </c>
      <c r="Q33" s="236">
        <f t="shared" si="30"/>
        <v>2.9368421052631577</v>
      </c>
      <c r="R33" s="106">
        <f t="shared" si="14"/>
        <v>9.6000000000000002E-2</v>
      </c>
      <c r="S33" s="108">
        <f t="shared" ref="S33:S38" si="37">VLOOKUP($B33,WaterQuality, 85, FALSE)/1000</f>
        <v>1.1000000000000001</v>
      </c>
      <c r="T33" s="110">
        <f t="shared" si="15"/>
        <v>0.26</v>
      </c>
      <c r="U33" s="109">
        <f t="shared" si="16"/>
        <v>633</v>
      </c>
      <c r="V33" s="106">
        <f t="shared" si="17"/>
        <v>0.25</v>
      </c>
      <c r="W33" s="108">
        <f t="shared" si="18"/>
        <v>5.9</v>
      </c>
      <c r="X33" s="106">
        <f t="shared" si="19"/>
        <v>0.28000000000000003</v>
      </c>
      <c r="Y33" s="106" t="str">
        <f t="shared" si="20"/>
        <v>&lt;0.02</v>
      </c>
      <c r="Z33" s="111" t="s">
        <v>174</v>
      </c>
      <c r="AA33" s="106">
        <f t="shared" si="22"/>
        <v>7.2</v>
      </c>
      <c r="AB33" s="108">
        <f t="shared" si="23"/>
        <v>1.3</v>
      </c>
      <c r="AC33" s="106" t="str">
        <f t="shared" si="24"/>
        <v>&lt;0.2</v>
      </c>
      <c r="AD33" s="109">
        <f t="shared" si="25"/>
        <v>30</v>
      </c>
      <c r="AE33" s="223">
        <v>1911003</v>
      </c>
      <c r="AF33" s="106">
        <f t="shared" si="26"/>
        <v>11</v>
      </c>
      <c r="AG33" s="106" t="str">
        <f t="shared" si="27"/>
        <v>&lt;0.2</v>
      </c>
      <c r="AH33" s="106" t="str">
        <f t="shared" si="28"/>
        <v>&lt;0.2</v>
      </c>
      <c r="AI33" s="308">
        <f t="shared" si="29"/>
        <v>10</v>
      </c>
    </row>
    <row r="34" spans="1:36" ht="24.95" customHeight="1" x14ac:dyDescent="0.3">
      <c r="A34" s="213" t="str">
        <f t="shared" si="0"/>
        <v>Lake Forest</v>
      </c>
      <c r="B34" s="223"/>
      <c r="C34" s="266" t="s">
        <v>137</v>
      </c>
      <c r="D34" s="106" t="str">
        <f t="shared" si="1"/>
        <v>Aliso Creek</v>
      </c>
      <c r="E34" s="307">
        <f>VLOOKUP(D34, BU, 2, FALSE)</f>
        <v>6</v>
      </c>
      <c r="F34" s="107">
        <v>44446.316666666666</v>
      </c>
      <c r="G34" s="111">
        <f t="shared" si="35"/>
        <v>5.0000000000000001E-3</v>
      </c>
      <c r="H34" s="274"/>
      <c r="I34" s="272"/>
      <c r="J34" s="271"/>
      <c r="K34" s="272"/>
      <c r="L34" s="272"/>
      <c r="M34" s="272"/>
      <c r="N34" s="271"/>
      <c r="O34" s="279"/>
      <c r="P34" s="274"/>
      <c r="Q34" s="275"/>
      <c r="R34" s="271"/>
      <c r="S34" s="273"/>
      <c r="T34" s="272"/>
      <c r="U34" s="275"/>
      <c r="V34" s="271"/>
      <c r="W34" s="275"/>
      <c r="X34" s="275"/>
      <c r="Y34" s="275"/>
      <c r="Z34" s="275"/>
      <c r="AA34" s="273"/>
      <c r="AB34" s="275"/>
      <c r="AC34" s="272"/>
      <c r="AD34" s="272"/>
      <c r="AE34" s="331"/>
      <c r="AF34" s="275"/>
      <c r="AG34" s="275"/>
      <c r="AH34" s="275"/>
      <c r="AI34" s="310"/>
    </row>
    <row r="35" spans="1:36" ht="24.95" customHeight="1" x14ac:dyDescent="0.3">
      <c r="A35" s="213" t="str">
        <f t="shared" si="0"/>
        <v>Lake Forest</v>
      </c>
      <c r="B35" s="223"/>
      <c r="C35" s="266" t="s">
        <v>141</v>
      </c>
      <c r="D35" s="106" t="str">
        <f t="shared" si="1"/>
        <v>Aliso Creek</v>
      </c>
      <c r="E35" s="307">
        <f>VLOOKUP(D35, BU, 2, FALSE)</f>
        <v>6</v>
      </c>
      <c r="F35" s="107">
        <v>44446.412499999999</v>
      </c>
      <c r="G35" s="111">
        <f t="shared" si="35"/>
        <v>0</v>
      </c>
      <c r="H35" s="274"/>
      <c r="I35" s="272"/>
      <c r="J35" s="271"/>
      <c r="K35" s="272"/>
      <c r="L35" s="272"/>
      <c r="M35" s="272"/>
      <c r="N35" s="271"/>
      <c r="O35" s="279"/>
      <c r="P35" s="274"/>
      <c r="Q35" s="275"/>
      <c r="R35" s="271"/>
      <c r="S35" s="273"/>
      <c r="T35" s="272"/>
      <c r="U35" s="275"/>
      <c r="V35" s="271"/>
      <c r="W35" s="275"/>
      <c r="X35" s="275"/>
      <c r="Y35" s="275"/>
      <c r="Z35" s="275"/>
      <c r="AA35" s="273"/>
      <c r="AB35" s="275"/>
      <c r="AC35" s="272"/>
      <c r="AD35" s="272"/>
      <c r="AE35" s="331"/>
      <c r="AF35" s="275"/>
      <c r="AG35" s="275"/>
      <c r="AH35" s="275"/>
      <c r="AI35" s="310"/>
    </row>
    <row r="36" spans="1:36" ht="24.95" customHeight="1" x14ac:dyDescent="0.3">
      <c r="A36" s="213" t="str">
        <f t="shared" si="0"/>
        <v>Lake Forest</v>
      </c>
      <c r="B36" s="223">
        <v>1920002</v>
      </c>
      <c r="C36" s="266" t="s">
        <v>140</v>
      </c>
      <c r="D36" s="106" t="str">
        <f t="shared" si="1"/>
        <v>Aliso Creek</v>
      </c>
      <c r="E36" s="307" t="s">
        <v>233</v>
      </c>
      <c r="F36" s="107">
        <f t="shared" si="3"/>
        <v>44446.321527777778</v>
      </c>
      <c r="G36" s="111">
        <f t="shared" si="35"/>
        <v>9.7714285714285698E-3</v>
      </c>
      <c r="H36" s="109">
        <f t="shared" si="5"/>
        <v>1079</v>
      </c>
      <c r="I36" s="111">
        <f t="shared" si="6"/>
        <v>7.22</v>
      </c>
      <c r="J36" s="109">
        <f t="shared" si="7"/>
        <v>12</v>
      </c>
      <c r="K36" s="110">
        <f t="shared" si="8"/>
        <v>8.34</v>
      </c>
      <c r="L36" s="109" t="str">
        <f t="shared" si="9"/>
        <v>&gt;=6000</v>
      </c>
      <c r="M36" s="109" t="str">
        <f t="shared" si="10"/>
        <v>&gt;=5200000</v>
      </c>
      <c r="N36" s="110">
        <f t="shared" si="11"/>
        <v>0.28999999999999998</v>
      </c>
      <c r="O36" s="108">
        <f t="shared" si="12"/>
        <v>3.7</v>
      </c>
      <c r="P36" s="216">
        <f t="shared" ref="P36:P38" si="38">N36+O36</f>
        <v>3.99</v>
      </c>
      <c r="Q36" s="236">
        <f t="shared" si="30"/>
        <v>0.48947368421052634</v>
      </c>
      <c r="R36" s="106">
        <f t="shared" si="14"/>
        <v>7.5999999999999998E-2</v>
      </c>
      <c r="S36" s="108">
        <f t="shared" si="37"/>
        <v>1.5</v>
      </c>
      <c r="T36" s="110">
        <f t="shared" si="15"/>
        <v>3.4000000000000002E-2</v>
      </c>
      <c r="U36" s="109">
        <f t="shared" si="16"/>
        <v>297</v>
      </c>
      <c r="V36" s="106">
        <f t="shared" si="17"/>
        <v>0.24</v>
      </c>
      <c r="W36" s="108">
        <f t="shared" si="18"/>
        <v>3.8</v>
      </c>
      <c r="X36" s="106">
        <f t="shared" si="19"/>
        <v>2.9</v>
      </c>
      <c r="Y36" s="106">
        <f t="shared" si="20"/>
        <v>2.8000000000000001E-2</v>
      </c>
      <c r="Z36" s="111">
        <f t="shared" ref="Z36:Z54" si="39">X36-Y36</f>
        <v>2.8719999999999999</v>
      </c>
      <c r="AA36" s="106">
        <f t="shared" si="22"/>
        <v>22</v>
      </c>
      <c r="AB36" s="108">
        <f t="shared" si="23"/>
        <v>2.4</v>
      </c>
      <c r="AC36" s="106" t="str">
        <f t="shared" si="24"/>
        <v>&lt;0.2</v>
      </c>
      <c r="AD36" s="109">
        <f t="shared" si="25"/>
        <v>66</v>
      </c>
      <c r="AE36" s="223">
        <v>1920007</v>
      </c>
      <c r="AF36" s="106">
        <f t="shared" si="26"/>
        <v>3.7</v>
      </c>
      <c r="AG36" s="106" t="str">
        <f t="shared" si="27"/>
        <v>&lt;0.2</v>
      </c>
      <c r="AH36" s="106" t="str">
        <f t="shared" si="28"/>
        <v>&lt;0.2</v>
      </c>
      <c r="AI36" s="308" t="str">
        <f t="shared" si="29"/>
        <v>&lt;10</v>
      </c>
    </row>
    <row r="37" spans="1:36" ht="24.95" customHeight="1" x14ac:dyDescent="0.3">
      <c r="A37" s="213" t="str">
        <f t="shared" si="0"/>
        <v>Lake Forest</v>
      </c>
      <c r="B37" s="223">
        <v>1920005</v>
      </c>
      <c r="C37" s="266" t="s">
        <v>142</v>
      </c>
      <c r="D37" s="106" t="str">
        <f t="shared" si="1"/>
        <v>Aliso Creek</v>
      </c>
      <c r="E37" s="307" t="s">
        <v>233</v>
      </c>
      <c r="F37" s="107">
        <f t="shared" si="3"/>
        <v>44446.37222222222</v>
      </c>
      <c r="G37" s="111">
        <f t="shared" si="35"/>
        <v>1.2999999999999999E-2</v>
      </c>
      <c r="H37" s="109">
        <f t="shared" si="5"/>
        <v>1406</v>
      </c>
      <c r="I37" s="111">
        <f t="shared" si="6"/>
        <v>8.69</v>
      </c>
      <c r="J37" s="108">
        <f t="shared" si="7"/>
        <v>5.5</v>
      </c>
      <c r="K37" s="110">
        <f t="shared" si="8"/>
        <v>8.86</v>
      </c>
      <c r="L37" s="109">
        <f t="shared" si="9"/>
        <v>44000</v>
      </c>
      <c r="M37" s="109" t="str">
        <f t="shared" si="10"/>
        <v>&gt;=89000</v>
      </c>
      <c r="N37" s="108">
        <f t="shared" si="11"/>
        <v>1.4</v>
      </c>
      <c r="O37" s="108">
        <f t="shared" si="12"/>
        <v>1.2</v>
      </c>
      <c r="P37" s="216">
        <f t="shared" si="38"/>
        <v>2.5999999999999996</v>
      </c>
      <c r="Q37" s="236">
        <f t="shared" si="30"/>
        <v>1.5010526315789474</v>
      </c>
      <c r="R37" s="106">
        <f t="shared" si="14"/>
        <v>0.13</v>
      </c>
      <c r="S37" s="110">
        <f t="shared" si="37"/>
        <v>0.35</v>
      </c>
      <c r="T37" s="110">
        <f t="shared" si="15"/>
        <v>1.7999999999999999E-2</v>
      </c>
      <c r="U37" s="109">
        <f t="shared" si="16"/>
        <v>379</v>
      </c>
      <c r="V37" s="106" t="str">
        <f t="shared" si="17"/>
        <v>&lt;0.2</v>
      </c>
      <c r="W37" s="108">
        <f t="shared" si="18"/>
        <v>4.5</v>
      </c>
      <c r="X37" s="106">
        <f t="shared" si="19"/>
        <v>0.71</v>
      </c>
      <c r="Y37" s="106">
        <f t="shared" si="20"/>
        <v>0.11</v>
      </c>
      <c r="Z37" s="111">
        <f t="shared" si="39"/>
        <v>0.6</v>
      </c>
      <c r="AA37" s="106">
        <f t="shared" si="22"/>
        <v>13</v>
      </c>
      <c r="AB37" s="108">
        <f t="shared" si="23"/>
        <v>1.2</v>
      </c>
      <c r="AC37" s="106" t="str">
        <f t="shared" si="24"/>
        <v>&lt;0.2</v>
      </c>
      <c r="AD37" s="109">
        <f t="shared" si="25"/>
        <v>40</v>
      </c>
      <c r="AE37" s="223">
        <v>1920010</v>
      </c>
      <c r="AF37" s="106">
        <f t="shared" si="26"/>
        <v>10</v>
      </c>
      <c r="AG37" s="106">
        <f t="shared" si="27"/>
        <v>0.27</v>
      </c>
      <c r="AH37" s="106" t="str">
        <f t="shared" si="28"/>
        <v>&lt;0.2</v>
      </c>
      <c r="AI37" s="308">
        <f t="shared" si="29"/>
        <v>16</v>
      </c>
    </row>
    <row r="38" spans="1:36" ht="24.95" customHeight="1" x14ac:dyDescent="0.3">
      <c r="A38" s="213" t="str">
        <f t="shared" si="0"/>
        <v>Lake Forest</v>
      </c>
      <c r="B38" s="223">
        <v>1920004</v>
      </c>
      <c r="C38" s="266" t="s">
        <v>139</v>
      </c>
      <c r="D38" s="106" t="str">
        <f t="shared" si="1"/>
        <v>Aliso Creek</v>
      </c>
      <c r="E38" s="307" t="s">
        <v>235</v>
      </c>
      <c r="F38" s="107">
        <f t="shared" si="3"/>
        <v>44446.434027777781</v>
      </c>
      <c r="G38" s="111">
        <f>VLOOKUP($C38, Flow_R2, 8, FALSE)</f>
        <v>0.126</v>
      </c>
      <c r="H38" s="109">
        <f t="shared" si="5"/>
        <v>2123</v>
      </c>
      <c r="I38" s="111">
        <f t="shared" si="6"/>
        <v>7.94</v>
      </c>
      <c r="J38" s="108">
        <f t="shared" si="7"/>
        <v>1.3</v>
      </c>
      <c r="K38" s="110">
        <f t="shared" si="8"/>
        <v>8.6</v>
      </c>
      <c r="L38" s="109">
        <f t="shared" si="9"/>
        <v>5400</v>
      </c>
      <c r="M38" s="109" t="str">
        <f t="shared" si="10"/>
        <v>&gt;=21000</v>
      </c>
      <c r="N38" s="108">
        <f t="shared" si="11"/>
        <v>8.6999999999999993</v>
      </c>
      <c r="O38" s="108">
        <f t="shared" si="12"/>
        <v>0.9</v>
      </c>
      <c r="P38" s="216">
        <f t="shared" si="38"/>
        <v>9.6</v>
      </c>
      <c r="Q38" s="236">
        <f t="shared" si="30"/>
        <v>0.94631578947368411</v>
      </c>
      <c r="R38" s="106" t="str">
        <f t="shared" si="14"/>
        <v>&lt;0.05</v>
      </c>
      <c r="S38" s="110">
        <f t="shared" si="37"/>
        <v>7.4999999999999997E-2</v>
      </c>
      <c r="T38" s="110">
        <f t="shared" si="15"/>
        <v>5.5E-2</v>
      </c>
      <c r="U38" s="109">
        <f t="shared" si="16"/>
        <v>702</v>
      </c>
      <c r="V38" s="106" t="str">
        <f t="shared" si="17"/>
        <v>&lt;0.2</v>
      </c>
      <c r="W38" s="108">
        <f t="shared" si="18"/>
        <v>2.2999999999999998</v>
      </c>
      <c r="X38" s="106">
        <f t="shared" si="19"/>
        <v>0.34</v>
      </c>
      <c r="Y38" s="106">
        <f t="shared" si="20"/>
        <v>0.28000000000000003</v>
      </c>
      <c r="Z38" s="111">
        <f t="shared" si="39"/>
        <v>0.06</v>
      </c>
      <c r="AA38" s="106">
        <f t="shared" si="22"/>
        <v>3.2</v>
      </c>
      <c r="AB38" s="110" t="str">
        <f t="shared" si="23"/>
        <v>&lt;0.2</v>
      </c>
      <c r="AC38" s="106" t="str">
        <f t="shared" si="24"/>
        <v>&lt;0.2</v>
      </c>
      <c r="AD38" s="109" t="str">
        <f t="shared" si="25"/>
        <v>&lt;10</v>
      </c>
      <c r="AE38" s="223">
        <v>1920009</v>
      </c>
      <c r="AF38" s="106">
        <f t="shared" si="26"/>
        <v>2.2999999999999998</v>
      </c>
      <c r="AG38" s="106" t="str">
        <f t="shared" si="27"/>
        <v>&lt;0.2</v>
      </c>
      <c r="AH38" s="106" t="str">
        <f t="shared" si="28"/>
        <v>&lt;0.2</v>
      </c>
      <c r="AI38" s="308" t="str">
        <f t="shared" si="29"/>
        <v>&lt;10</v>
      </c>
    </row>
    <row r="39" spans="1:36" ht="24.95" customHeight="1" x14ac:dyDescent="0.3">
      <c r="A39" s="213" t="str">
        <f t="shared" si="0"/>
        <v>Mission Viejo</v>
      </c>
      <c r="B39" s="223"/>
      <c r="C39" s="120" t="s">
        <v>261</v>
      </c>
      <c r="D39" s="106" t="str">
        <f t="shared" si="1"/>
        <v>La Paz Channel</v>
      </c>
      <c r="E39" s="307" t="s">
        <v>262</v>
      </c>
      <c r="F39" s="107">
        <v>44411.45416666667</v>
      </c>
      <c r="G39" s="188" t="s">
        <v>120</v>
      </c>
      <c r="H39" s="272"/>
      <c r="I39" s="274"/>
      <c r="J39" s="271"/>
      <c r="K39" s="271"/>
      <c r="L39" s="272"/>
      <c r="M39" s="272"/>
      <c r="N39" s="273"/>
      <c r="O39" s="273"/>
      <c r="P39" s="277"/>
      <c r="Q39" s="274"/>
      <c r="R39" s="275"/>
      <c r="S39" s="273"/>
      <c r="T39" s="273"/>
      <c r="U39" s="272"/>
      <c r="V39" s="275"/>
      <c r="W39" s="271"/>
      <c r="X39" s="275"/>
      <c r="Y39" s="275"/>
      <c r="Z39" s="274"/>
      <c r="AA39" s="275"/>
      <c r="AB39" s="273"/>
      <c r="AC39" s="275"/>
      <c r="AD39" s="272"/>
      <c r="AE39" s="331"/>
      <c r="AF39" s="275"/>
      <c r="AG39" s="275"/>
      <c r="AH39" s="275"/>
      <c r="AI39" s="310"/>
    </row>
    <row r="40" spans="1:36" ht="24.95" customHeight="1" x14ac:dyDescent="0.3">
      <c r="A40" s="213" t="str">
        <f t="shared" si="0"/>
        <v>Mission Viejo</v>
      </c>
      <c r="B40" s="223">
        <v>1854003</v>
      </c>
      <c r="C40" s="266" t="s">
        <v>144</v>
      </c>
      <c r="D40" s="106" t="str">
        <f t="shared" si="1"/>
        <v>La Paz Channel</v>
      </c>
      <c r="E40" s="307">
        <f>VLOOKUP(D40, BU, 2, FALSE)</f>
        <v>7</v>
      </c>
      <c r="F40" s="107">
        <f t="shared" si="3"/>
        <v>44411.381249999999</v>
      </c>
      <c r="G40" s="111">
        <f>VLOOKUP($C40, Flow_R2, 8, FALSE)</f>
        <v>0.29199999999999998</v>
      </c>
      <c r="H40" s="109">
        <f t="shared" ref="H40:H55" si="40">VLOOKUP($B40, WaterQuality, 117, FALSE)</f>
        <v>3488.01</v>
      </c>
      <c r="I40" s="111">
        <f t="shared" ref="I40:I55" si="41">VLOOKUP($B40, WaterQuality, 115, FALSE)</f>
        <v>7.15</v>
      </c>
      <c r="J40" s="108">
        <f t="shared" ref="J40:J55" si="42">VLOOKUP($B40,WaterQuality, 110, FALSE)</f>
        <v>1.4</v>
      </c>
      <c r="K40" s="110">
        <f t="shared" ref="K40:K55" si="43">VLOOKUP($B40,WaterQuality, 116, FALSE)</f>
        <v>6.88</v>
      </c>
      <c r="L40" s="218">
        <f t="shared" ref="L40:L55" si="44">VLOOKUP($B40,WaterQuality, 113, FALSE)</f>
        <v>700</v>
      </c>
      <c r="M40" s="109" t="str">
        <f t="shared" ref="M40:M55" si="45">VLOOKUP($B40, WaterQuality, 114, FALSE)</f>
        <v>&gt;=6800</v>
      </c>
      <c r="N40" s="110">
        <f t="shared" ref="N40:N55" si="46">VLOOKUP($B40,WaterQuality, 99, FALSE)</f>
        <v>0.75</v>
      </c>
      <c r="O40" s="108">
        <f t="shared" ref="O40:O55" si="47">VLOOKUP($B40,WaterQuality, 100, FALSE)</f>
        <v>0.6</v>
      </c>
      <c r="P40" s="214">
        <f t="shared" ref="P40:P55" si="48">N40+O40</f>
        <v>1.35</v>
      </c>
      <c r="Q40" s="236">
        <f t="shared" ref="Q40:Q55" si="49">VLOOKUP($B40, WaterQuality, 103, FALSE)*31/95</f>
        <v>0.45684210526315788</v>
      </c>
      <c r="R40" s="106" t="str">
        <f t="shared" ref="R40:R55" si="50">VLOOKUP($B40,WaterQuality, 89, FALSE)</f>
        <v>&lt;0.05</v>
      </c>
      <c r="S40" s="370">
        <f t="shared" ref="S40:S48" si="51">VLOOKUP($B40,WaterQuality, 85, FALSE)/1000</f>
        <v>0.34</v>
      </c>
      <c r="T40" s="370">
        <f t="shared" ref="T40:T55" si="52">VLOOKUP($B40,WaterQuality, 88, FALSE)/1000</f>
        <v>0.85</v>
      </c>
      <c r="U40" s="109">
        <f t="shared" ref="U40:U55" si="53">VLOOKUP($B40,WaterQuality, 84, FALSE)</f>
        <v>1390</v>
      </c>
      <c r="V40" s="106">
        <f t="shared" ref="V40:V55" si="54">VLOOKUP($B40,WaterQuality, 78, FALSE)</f>
        <v>1.5</v>
      </c>
      <c r="W40" s="108">
        <f t="shared" ref="W40:W55" si="55">VLOOKUP($B40,WaterQuality, 91, FALSE)</f>
        <v>9.1</v>
      </c>
      <c r="X40" s="106">
        <f t="shared" ref="X40:X55" si="56">VLOOKUP($B40,WaterQuality, 81, FALSE)</f>
        <v>0.36</v>
      </c>
      <c r="Y40" s="106" t="str">
        <f t="shared" ref="Y40:Y55" si="57">VLOOKUP($B40,WaterQuality, 80, FALSE)</f>
        <v>&lt;0.02</v>
      </c>
      <c r="Z40" s="111" t="s">
        <v>263</v>
      </c>
      <c r="AA40" s="106">
        <f t="shared" ref="AA40:AA55" si="58">VLOOKUP($B40,WaterQuality, 82, FALSE)</f>
        <v>2.8</v>
      </c>
      <c r="AB40" s="110" t="str">
        <f t="shared" ref="AB40:AB55" si="59">VLOOKUP($B40,WaterQuality, 86, FALSE)</f>
        <v>&lt;0.2</v>
      </c>
      <c r="AC40" s="106" t="str">
        <f t="shared" ref="AC40:AC55" si="60">VLOOKUP($B40,WaterQuality, 93, FALSE)</f>
        <v>&lt;0.2</v>
      </c>
      <c r="AD40" s="109" t="str">
        <f t="shared" ref="AD40:AD55" si="61">VLOOKUP($B40,WaterQuality, 96, FALSE)</f>
        <v>&lt;10</v>
      </c>
      <c r="AE40" s="223">
        <v>1854007</v>
      </c>
      <c r="AF40" s="106">
        <f t="shared" si="26"/>
        <v>1.8</v>
      </c>
      <c r="AG40" s="106" t="str">
        <f t="shared" si="27"/>
        <v>&lt;0.2</v>
      </c>
      <c r="AH40" s="106" t="str">
        <f t="shared" si="28"/>
        <v>&lt;0.2</v>
      </c>
      <c r="AI40" s="308" t="str">
        <f t="shared" si="29"/>
        <v>&lt;10</v>
      </c>
      <c r="AJ40" s="170"/>
    </row>
    <row r="41" spans="1:36" ht="24.95" customHeight="1" x14ac:dyDescent="0.3">
      <c r="A41" s="213" t="str">
        <f t="shared" si="0"/>
        <v>Mission Viejo</v>
      </c>
      <c r="B41" s="223">
        <v>1854004</v>
      </c>
      <c r="C41" s="266" t="s">
        <v>149</v>
      </c>
      <c r="D41" s="106" t="str">
        <f t="shared" si="1"/>
        <v>Oso Creek</v>
      </c>
      <c r="E41" s="307">
        <v>7</v>
      </c>
      <c r="F41" s="107">
        <f t="shared" si="3"/>
        <v>44411.421527777777</v>
      </c>
      <c r="G41" s="111">
        <f t="shared" ref="G41:G60" si="62">VLOOKUP($C41, Flow_R2, 7, FALSE)</f>
        <v>0.32400000000000001</v>
      </c>
      <c r="H41" s="109">
        <f t="shared" si="40"/>
        <v>4368.2299999999996</v>
      </c>
      <c r="I41" s="111">
        <f t="shared" si="41"/>
        <v>7.89</v>
      </c>
      <c r="J41" s="110">
        <f t="shared" si="42"/>
        <v>0.83</v>
      </c>
      <c r="K41" s="110">
        <f t="shared" si="43"/>
        <v>7.63</v>
      </c>
      <c r="L41" s="109" t="str">
        <f t="shared" si="44"/>
        <v>&gt;=2600</v>
      </c>
      <c r="M41" s="109" t="str">
        <f t="shared" si="45"/>
        <v>&gt;=42000</v>
      </c>
      <c r="N41" s="108">
        <f t="shared" si="46"/>
        <v>3.1</v>
      </c>
      <c r="O41" s="110">
        <f t="shared" si="47"/>
        <v>0.64</v>
      </c>
      <c r="P41" s="214">
        <f t="shared" si="48"/>
        <v>3.74</v>
      </c>
      <c r="Q41" s="111">
        <f t="shared" si="49"/>
        <v>0.52210526315789474</v>
      </c>
      <c r="R41" s="106" t="str">
        <f t="shared" si="50"/>
        <v>&lt;0.05</v>
      </c>
      <c r="S41" s="110">
        <f t="shared" si="51"/>
        <v>3.4000000000000002E-2</v>
      </c>
      <c r="T41" s="110">
        <f t="shared" si="52"/>
        <v>0.1</v>
      </c>
      <c r="U41" s="109">
        <f t="shared" si="53"/>
        <v>1880</v>
      </c>
      <c r="V41" s="106">
        <f t="shared" si="54"/>
        <v>3.8</v>
      </c>
      <c r="W41" s="109">
        <f t="shared" si="55"/>
        <v>30</v>
      </c>
      <c r="X41" s="106">
        <f t="shared" si="56"/>
        <v>0.28000000000000003</v>
      </c>
      <c r="Y41" s="106">
        <f t="shared" si="57"/>
        <v>0.03</v>
      </c>
      <c r="Z41" s="111">
        <f t="shared" si="39"/>
        <v>0.25</v>
      </c>
      <c r="AA41" s="112">
        <f t="shared" si="58"/>
        <v>5.6</v>
      </c>
      <c r="AB41" s="110" t="str">
        <f t="shared" si="59"/>
        <v>&lt;0.2</v>
      </c>
      <c r="AC41" s="106" t="str">
        <f t="shared" si="60"/>
        <v>&lt;0.2</v>
      </c>
      <c r="AD41" s="109" t="str">
        <f t="shared" si="61"/>
        <v>&lt;10</v>
      </c>
      <c r="AE41" s="223">
        <v>1854008</v>
      </c>
      <c r="AF41" s="106">
        <f t="shared" si="26"/>
        <v>5.0999999999999996</v>
      </c>
      <c r="AG41" s="106" t="str">
        <f t="shared" si="27"/>
        <v>&lt;0.2</v>
      </c>
      <c r="AH41" s="106" t="str">
        <f t="shared" si="28"/>
        <v>&lt;0.2</v>
      </c>
      <c r="AI41" s="308" t="str">
        <f t="shared" si="29"/>
        <v>&lt;10</v>
      </c>
      <c r="AJ41" s="170"/>
    </row>
    <row r="42" spans="1:36" ht="24.95" customHeight="1" x14ac:dyDescent="0.3">
      <c r="A42" s="213" t="str">
        <f t="shared" si="0"/>
        <v>Mission Viejo</v>
      </c>
      <c r="B42" s="223">
        <v>1853001</v>
      </c>
      <c r="C42" s="266" t="s">
        <v>150</v>
      </c>
      <c r="D42" s="106" t="str">
        <f t="shared" si="1"/>
        <v>Oso Creek</v>
      </c>
      <c r="E42" s="307" t="s">
        <v>237</v>
      </c>
      <c r="F42" s="107">
        <f t="shared" si="3"/>
        <v>44448.37222222222</v>
      </c>
      <c r="G42" s="111">
        <f t="shared" si="62"/>
        <v>0.11571428571428573</v>
      </c>
      <c r="H42" s="109">
        <f t="shared" si="40"/>
        <v>3662</v>
      </c>
      <c r="I42" s="111">
        <f t="shared" si="41"/>
        <v>8.42</v>
      </c>
      <c r="J42" s="108">
        <f t="shared" si="42"/>
        <v>0.7</v>
      </c>
      <c r="K42" s="110">
        <f t="shared" si="43"/>
        <v>7.98</v>
      </c>
      <c r="L42" s="109">
        <f t="shared" si="44"/>
        <v>4000</v>
      </c>
      <c r="M42" s="109">
        <f t="shared" si="45"/>
        <v>24000</v>
      </c>
      <c r="N42" s="110">
        <f t="shared" si="46"/>
        <v>0.64</v>
      </c>
      <c r="O42" s="108">
        <f t="shared" si="47"/>
        <v>0.84</v>
      </c>
      <c r="P42" s="216">
        <f t="shared" si="48"/>
        <v>1.48</v>
      </c>
      <c r="Q42" s="111">
        <f t="shared" si="49"/>
        <v>0.24473684210526317</v>
      </c>
      <c r="R42" s="106" t="str">
        <f t="shared" si="50"/>
        <v>&lt;0.05</v>
      </c>
      <c r="S42" s="110">
        <f t="shared" si="51"/>
        <v>3.7999999999999999E-2</v>
      </c>
      <c r="T42" s="110">
        <f t="shared" si="52"/>
        <v>8.6999999999999994E-2</v>
      </c>
      <c r="U42" s="109">
        <f t="shared" si="53"/>
        <v>1530</v>
      </c>
      <c r="V42" s="106">
        <f t="shared" si="54"/>
        <v>0.43</v>
      </c>
      <c r="W42" s="109">
        <f t="shared" si="55"/>
        <v>6.6</v>
      </c>
      <c r="X42" s="106">
        <f t="shared" si="56"/>
        <v>0.99</v>
      </c>
      <c r="Y42" s="106">
        <f t="shared" si="57"/>
        <v>0.95</v>
      </c>
      <c r="Z42" s="111">
        <f t="shared" si="39"/>
        <v>4.0000000000000036E-2</v>
      </c>
      <c r="AA42" s="106">
        <f t="shared" si="58"/>
        <v>3.2</v>
      </c>
      <c r="AB42" s="110" t="str">
        <f t="shared" si="59"/>
        <v>&lt;0.2</v>
      </c>
      <c r="AC42" s="106" t="str">
        <f t="shared" si="60"/>
        <v>&lt;0.2</v>
      </c>
      <c r="AD42" s="109" t="str">
        <f t="shared" si="61"/>
        <v>&lt;10</v>
      </c>
      <c r="AE42" s="223">
        <v>1853004</v>
      </c>
      <c r="AF42" s="106">
        <f t="shared" si="26"/>
        <v>2.5</v>
      </c>
      <c r="AG42" s="106" t="str">
        <f t="shared" si="27"/>
        <v>&lt;0.2</v>
      </c>
      <c r="AH42" s="106" t="str">
        <f t="shared" si="28"/>
        <v>&lt;0.2</v>
      </c>
      <c r="AI42" s="308" t="str">
        <f t="shared" si="29"/>
        <v>&lt;10</v>
      </c>
    </row>
    <row r="43" spans="1:36" ht="24.95" customHeight="1" x14ac:dyDescent="0.3">
      <c r="A43" s="213" t="str">
        <f t="shared" si="0"/>
        <v>Mission Viejo</v>
      </c>
      <c r="B43" s="223">
        <v>1853002</v>
      </c>
      <c r="C43" s="266" t="s">
        <v>145</v>
      </c>
      <c r="D43" s="106" t="str">
        <f t="shared" si="1"/>
        <v>Oso Creek</v>
      </c>
      <c r="E43" s="307">
        <f t="shared" ref="E43:E55" si="63">VLOOKUP(D43, BU, 2, FALSE)</f>
        <v>7</v>
      </c>
      <c r="F43" s="107">
        <f t="shared" si="3"/>
        <v>44448.42083333333</v>
      </c>
      <c r="G43" s="111">
        <f t="shared" si="62"/>
        <v>0.34559999999999996</v>
      </c>
      <c r="H43" s="109">
        <f t="shared" si="40"/>
        <v>2424</v>
      </c>
      <c r="I43" s="111">
        <f t="shared" si="41"/>
        <v>8.0500000000000007</v>
      </c>
      <c r="J43" s="108">
        <f t="shared" si="42"/>
        <v>2.2000000000000002</v>
      </c>
      <c r="K43" s="110">
        <f t="shared" si="43"/>
        <v>8.67</v>
      </c>
      <c r="L43" s="109">
        <f t="shared" si="44"/>
        <v>36000</v>
      </c>
      <c r="M43" s="109" t="str">
        <f t="shared" si="45"/>
        <v>&gt;=68000</v>
      </c>
      <c r="N43" s="110">
        <f t="shared" si="46"/>
        <v>0.9</v>
      </c>
      <c r="O43" s="110">
        <f t="shared" si="47"/>
        <v>0.83</v>
      </c>
      <c r="P43" s="214">
        <f t="shared" si="48"/>
        <v>1.73</v>
      </c>
      <c r="Q43" s="111">
        <f t="shared" si="49"/>
        <v>0.22515789473684208</v>
      </c>
      <c r="R43" s="106">
        <f t="shared" si="50"/>
        <v>5.7000000000000002E-2</v>
      </c>
      <c r="S43" s="110">
        <f t="shared" si="51"/>
        <v>0.17</v>
      </c>
      <c r="T43" s="110">
        <f t="shared" si="52"/>
        <v>4.2999999999999997E-2</v>
      </c>
      <c r="U43" s="109">
        <f t="shared" si="53"/>
        <v>748</v>
      </c>
      <c r="V43" s="106" t="str">
        <f t="shared" si="54"/>
        <v>&lt;0.2</v>
      </c>
      <c r="W43" s="109">
        <f t="shared" si="55"/>
        <v>3.5</v>
      </c>
      <c r="X43" s="106">
        <f t="shared" si="56"/>
        <v>0.24</v>
      </c>
      <c r="Y43" s="106" t="str">
        <f t="shared" si="57"/>
        <v>&lt;0.02</v>
      </c>
      <c r="Z43" s="111" t="s">
        <v>255</v>
      </c>
      <c r="AA43" s="106">
        <f t="shared" si="58"/>
        <v>7.5</v>
      </c>
      <c r="AB43" s="110">
        <f t="shared" si="59"/>
        <v>0.23</v>
      </c>
      <c r="AC43" s="106" t="str">
        <f t="shared" si="60"/>
        <v>&lt;0.2</v>
      </c>
      <c r="AD43" s="109" t="str">
        <f t="shared" si="61"/>
        <v>&lt;10</v>
      </c>
      <c r="AE43" s="223">
        <v>1853005</v>
      </c>
      <c r="AF43" s="106">
        <f t="shared" si="26"/>
        <v>5.7</v>
      </c>
      <c r="AG43" s="106" t="str">
        <f t="shared" si="27"/>
        <v>&lt;0.2</v>
      </c>
      <c r="AH43" s="106" t="str">
        <f t="shared" si="28"/>
        <v>&lt;0.2</v>
      </c>
      <c r="AI43" s="308" t="str">
        <f t="shared" si="29"/>
        <v>&lt;10</v>
      </c>
    </row>
    <row r="44" spans="1:36" ht="24.95" customHeight="1" x14ac:dyDescent="0.3">
      <c r="A44" s="213" t="str">
        <f t="shared" si="0"/>
        <v>Mission Viejo</v>
      </c>
      <c r="B44" s="223">
        <v>1853003</v>
      </c>
      <c r="C44" s="266" t="s">
        <v>148</v>
      </c>
      <c r="D44" s="106" t="str">
        <f t="shared" si="1"/>
        <v>Oso Creek</v>
      </c>
      <c r="E44" s="307">
        <f t="shared" si="63"/>
        <v>7</v>
      </c>
      <c r="F44" s="107">
        <f t="shared" si="3"/>
        <v>44448.448611111111</v>
      </c>
      <c r="G44" s="111">
        <f t="shared" si="62"/>
        <v>0.81600000000000006</v>
      </c>
      <c r="H44" s="109">
        <f t="shared" si="40"/>
        <v>3041</v>
      </c>
      <c r="I44" s="111">
        <f t="shared" si="41"/>
        <v>7.9</v>
      </c>
      <c r="J44" s="108">
        <f t="shared" si="42"/>
        <v>2.8</v>
      </c>
      <c r="K44" s="110">
        <f t="shared" si="43"/>
        <v>8.4499999999999993</v>
      </c>
      <c r="L44" s="109" t="str">
        <f t="shared" si="44"/>
        <v>&gt;=2900</v>
      </c>
      <c r="M44" s="109" t="str">
        <f t="shared" si="45"/>
        <v>&gt;=24000</v>
      </c>
      <c r="N44" s="108">
        <f t="shared" si="46"/>
        <v>2.1</v>
      </c>
      <c r="O44" s="108">
        <f t="shared" si="47"/>
        <v>1.6</v>
      </c>
      <c r="P44" s="214">
        <f t="shared" si="48"/>
        <v>3.7</v>
      </c>
      <c r="Q44" s="111">
        <f t="shared" si="49"/>
        <v>0.42421052631578954</v>
      </c>
      <c r="R44" s="106" t="str">
        <f t="shared" si="50"/>
        <v>&lt;0.05</v>
      </c>
      <c r="S44" s="110">
        <f t="shared" si="51"/>
        <v>0.15</v>
      </c>
      <c r="T44" s="110">
        <f t="shared" si="52"/>
        <v>0.14000000000000001</v>
      </c>
      <c r="U44" s="109">
        <f t="shared" si="53"/>
        <v>1260</v>
      </c>
      <c r="V44" s="217">
        <f t="shared" si="54"/>
        <v>31</v>
      </c>
      <c r="W44" s="109">
        <f t="shared" si="55"/>
        <v>75</v>
      </c>
      <c r="X44" s="106">
        <f t="shared" si="56"/>
        <v>0.59</v>
      </c>
      <c r="Y44" s="106">
        <f t="shared" si="57"/>
        <v>3.1E-2</v>
      </c>
      <c r="Z44" s="111">
        <f t="shared" si="39"/>
        <v>0.55899999999999994</v>
      </c>
      <c r="AA44" s="106">
        <f t="shared" si="58"/>
        <v>7.8</v>
      </c>
      <c r="AB44" s="110">
        <f t="shared" si="59"/>
        <v>0.75</v>
      </c>
      <c r="AC44" s="106" t="str">
        <f t="shared" si="60"/>
        <v>&lt;0.2</v>
      </c>
      <c r="AD44" s="109">
        <f t="shared" si="61"/>
        <v>30</v>
      </c>
      <c r="AE44" s="223">
        <v>1853006</v>
      </c>
      <c r="AF44" s="106">
        <f t="shared" si="26"/>
        <v>3.5</v>
      </c>
      <c r="AG44" s="106" t="str">
        <f t="shared" si="27"/>
        <v>&lt;0.2</v>
      </c>
      <c r="AH44" s="106" t="str">
        <f t="shared" si="28"/>
        <v>&lt;0.2</v>
      </c>
      <c r="AI44" s="308">
        <f t="shared" si="29"/>
        <v>13</v>
      </c>
    </row>
    <row r="45" spans="1:36" ht="24.95" customHeight="1" x14ac:dyDescent="0.3">
      <c r="A45" s="213" t="str">
        <f t="shared" si="0"/>
        <v>Rancho Santa Margarita</v>
      </c>
      <c r="B45" s="223">
        <v>1874001</v>
      </c>
      <c r="C45" s="266" t="s">
        <v>151</v>
      </c>
      <c r="D45" s="106" t="str">
        <f t="shared" si="1"/>
        <v xml:space="preserve">Arroyo Trabuco </v>
      </c>
      <c r="E45" s="307">
        <f t="shared" si="63"/>
        <v>7</v>
      </c>
      <c r="F45" s="107">
        <f t="shared" si="3"/>
        <v>44417.352777777778</v>
      </c>
      <c r="G45" s="111">
        <f t="shared" si="62"/>
        <v>2.7E-2</v>
      </c>
      <c r="H45" s="109">
        <f t="shared" si="40"/>
        <v>1260</v>
      </c>
      <c r="I45" s="111">
        <f t="shared" si="41"/>
        <v>8.02</v>
      </c>
      <c r="J45" s="108">
        <f t="shared" si="42"/>
        <v>4.0999999999999996</v>
      </c>
      <c r="K45" s="110">
        <f t="shared" si="43"/>
        <v>8.4</v>
      </c>
      <c r="L45" s="109" t="str">
        <f t="shared" si="44"/>
        <v>&gt;=4000</v>
      </c>
      <c r="M45" s="109" t="str">
        <f t="shared" si="45"/>
        <v>&gt;=108000</v>
      </c>
      <c r="N45" s="108">
        <f t="shared" si="46"/>
        <v>4.3</v>
      </c>
      <c r="O45" s="108">
        <f t="shared" si="47"/>
        <v>2.8</v>
      </c>
      <c r="P45" s="216">
        <f t="shared" si="48"/>
        <v>7.1</v>
      </c>
      <c r="Q45" s="111">
        <f t="shared" si="49"/>
        <v>0.78315789473684205</v>
      </c>
      <c r="R45" s="106" t="str">
        <f t="shared" si="50"/>
        <v>&lt;0.05</v>
      </c>
      <c r="S45" s="110">
        <f t="shared" si="51"/>
        <v>6.4000000000000001E-2</v>
      </c>
      <c r="T45" s="110">
        <f t="shared" si="52"/>
        <v>0.01</v>
      </c>
      <c r="U45" s="109">
        <f t="shared" si="53"/>
        <v>555</v>
      </c>
      <c r="V45" s="106" t="str">
        <f t="shared" si="54"/>
        <v>&lt;0.2</v>
      </c>
      <c r="W45" s="108" t="str">
        <f t="shared" si="55"/>
        <v>&lt;2</v>
      </c>
      <c r="X45" s="106">
        <f t="shared" si="56"/>
        <v>0.33</v>
      </c>
      <c r="Y45" s="106">
        <f t="shared" si="57"/>
        <v>8.4000000000000005E-2</v>
      </c>
      <c r="Z45" s="111">
        <f t="shared" si="39"/>
        <v>0.246</v>
      </c>
      <c r="AA45" s="106">
        <f t="shared" si="58"/>
        <v>9.9</v>
      </c>
      <c r="AB45" s="110" t="str">
        <f t="shared" si="59"/>
        <v>&lt;0.2</v>
      </c>
      <c r="AC45" s="106" t="str">
        <f t="shared" si="60"/>
        <v>&lt;0.2</v>
      </c>
      <c r="AD45" s="109">
        <f t="shared" si="61"/>
        <v>15</v>
      </c>
      <c r="AE45" s="223">
        <v>1874006</v>
      </c>
      <c r="AF45" s="106">
        <f t="shared" si="26"/>
        <v>8.6</v>
      </c>
      <c r="AG45" s="106" t="str">
        <f t="shared" si="27"/>
        <v>&lt;0.2</v>
      </c>
      <c r="AH45" s="106" t="str">
        <f t="shared" si="28"/>
        <v>&lt;0.2</v>
      </c>
      <c r="AI45" s="308">
        <f t="shared" si="29"/>
        <v>12</v>
      </c>
    </row>
    <row r="46" spans="1:36" ht="24.95" customHeight="1" x14ac:dyDescent="0.3">
      <c r="A46" s="213" t="str">
        <f t="shared" si="0"/>
        <v>Rancho Santa Margarita</v>
      </c>
      <c r="B46" s="223">
        <v>1874005</v>
      </c>
      <c r="C46" s="266" t="s">
        <v>152</v>
      </c>
      <c r="D46" s="106" t="str">
        <f t="shared" si="1"/>
        <v xml:space="preserve">Arroyo Trabuco </v>
      </c>
      <c r="E46" s="307">
        <f t="shared" si="63"/>
        <v>7</v>
      </c>
      <c r="F46" s="107">
        <f t="shared" si="3"/>
        <v>44417.365277777775</v>
      </c>
      <c r="G46" s="111">
        <f>VLOOKUP($C46, Flow_R2, 8, FALSE)</f>
        <v>5.2999999999999999E-2</v>
      </c>
      <c r="H46" s="109">
        <f t="shared" si="40"/>
        <v>1371</v>
      </c>
      <c r="I46" s="111">
        <f t="shared" si="41"/>
        <v>8.58</v>
      </c>
      <c r="J46" s="108">
        <f t="shared" si="42"/>
        <v>1.2</v>
      </c>
      <c r="K46" s="110">
        <f t="shared" si="43"/>
        <v>8.27</v>
      </c>
      <c r="L46" s="109" t="str">
        <f t="shared" si="44"/>
        <v>&gt;=36000</v>
      </c>
      <c r="M46" s="109" t="str">
        <f t="shared" si="45"/>
        <v>&gt;=580000</v>
      </c>
      <c r="N46" s="108">
        <f t="shared" si="46"/>
        <v>0.81</v>
      </c>
      <c r="O46" s="110">
        <f t="shared" si="47"/>
        <v>0.62</v>
      </c>
      <c r="P46" s="216">
        <f t="shared" si="48"/>
        <v>1.4300000000000002</v>
      </c>
      <c r="Q46" s="111">
        <f t="shared" si="49"/>
        <v>0.39157894736842103</v>
      </c>
      <c r="R46" s="106" t="str">
        <f t="shared" si="50"/>
        <v>&lt;0.05</v>
      </c>
      <c r="S46" s="110">
        <f t="shared" si="51"/>
        <v>0.13</v>
      </c>
      <c r="T46" s="110">
        <f t="shared" si="52"/>
        <v>1.2999999999999999E-2</v>
      </c>
      <c r="U46" s="109">
        <f t="shared" si="53"/>
        <v>428</v>
      </c>
      <c r="V46" s="106" t="str">
        <f t="shared" si="54"/>
        <v>&lt;0.2</v>
      </c>
      <c r="W46" s="108" t="str">
        <f t="shared" si="55"/>
        <v>&lt;2</v>
      </c>
      <c r="X46" s="106">
        <f t="shared" si="56"/>
        <v>0.31</v>
      </c>
      <c r="Y46" s="106">
        <f t="shared" si="57"/>
        <v>0.11</v>
      </c>
      <c r="Z46" s="111">
        <f t="shared" si="39"/>
        <v>0.2</v>
      </c>
      <c r="AA46" s="106">
        <f t="shared" si="58"/>
        <v>4.9000000000000004</v>
      </c>
      <c r="AB46" s="110" t="str">
        <f t="shared" si="59"/>
        <v>&lt;0.2</v>
      </c>
      <c r="AC46" s="106" t="str">
        <f t="shared" si="60"/>
        <v>&lt;0.2</v>
      </c>
      <c r="AD46" s="109" t="str">
        <f t="shared" si="61"/>
        <v>&lt;10</v>
      </c>
      <c r="AE46" s="223">
        <v>1874010</v>
      </c>
      <c r="AF46" s="106">
        <f t="shared" si="26"/>
        <v>3.9</v>
      </c>
      <c r="AG46" s="106" t="str">
        <f t="shared" si="27"/>
        <v>&lt;0.2</v>
      </c>
      <c r="AH46" s="106" t="str">
        <f t="shared" si="28"/>
        <v>&lt;0.2</v>
      </c>
      <c r="AI46" s="308" t="str">
        <f t="shared" si="29"/>
        <v>&lt;10</v>
      </c>
    </row>
    <row r="47" spans="1:36" ht="24.95" customHeight="1" x14ac:dyDescent="0.3">
      <c r="A47" s="213" t="str">
        <f t="shared" si="0"/>
        <v>Rancho Santa Margarita</v>
      </c>
      <c r="B47" s="223">
        <v>1874003</v>
      </c>
      <c r="C47" s="266" t="s">
        <v>154</v>
      </c>
      <c r="D47" s="106" t="str">
        <f t="shared" si="1"/>
        <v>Tijeras Creek</v>
      </c>
      <c r="E47" s="307">
        <f t="shared" si="63"/>
        <v>7</v>
      </c>
      <c r="F47" s="107">
        <f t="shared" si="3"/>
        <v>44417.410416666666</v>
      </c>
      <c r="G47" s="124">
        <f t="shared" si="62"/>
        <v>0.33782608695652183</v>
      </c>
      <c r="H47" s="109">
        <f t="shared" si="40"/>
        <v>1497.7</v>
      </c>
      <c r="I47" s="111">
        <f t="shared" si="41"/>
        <v>8.25</v>
      </c>
      <c r="J47" s="108">
        <f t="shared" si="42"/>
        <v>1.7</v>
      </c>
      <c r="K47" s="110">
        <f t="shared" si="43"/>
        <v>8.58</v>
      </c>
      <c r="L47" s="109" t="str">
        <f t="shared" si="44"/>
        <v>&gt;=17700</v>
      </c>
      <c r="M47" s="109" t="str">
        <f t="shared" si="45"/>
        <v>&gt;=58000</v>
      </c>
      <c r="N47" s="108">
        <f t="shared" si="46"/>
        <v>2.5</v>
      </c>
      <c r="O47" s="108">
        <f t="shared" si="47"/>
        <v>1.4</v>
      </c>
      <c r="P47" s="216">
        <f t="shared" si="48"/>
        <v>3.9</v>
      </c>
      <c r="Q47" s="111">
        <f t="shared" si="49"/>
        <v>0.42421052631578954</v>
      </c>
      <c r="R47" s="106" t="str">
        <f t="shared" si="50"/>
        <v>&lt;0.05</v>
      </c>
      <c r="S47" s="110">
        <f t="shared" si="51"/>
        <v>0.12</v>
      </c>
      <c r="T47" s="110">
        <f t="shared" si="52"/>
        <v>1.2999999999999999E-2</v>
      </c>
      <c r="U47" s="109">
        <f t="shared" si="53"/>
        <v>355</v>
      </c>
      <c r="V47" s="106" t="str">
        <f t="shared" si="54"/>
        <v>&lt;0.2</v>
      </c>
      <c r="W47" s="108" t="str">
        <f t="shared" si="55"/>
        <v>&lt;2</v>
      </c>
      <c r="X47" s="106">
        <f t="shared" si="56"/>
        <v>0.24</v>
      </c>
      <c r="Y47" s="106">
        <f t="shared" si="57"/>
        <v>7.3999999999999996E-2</v>
      </c>
      <c r="Z47" s="111">
        <f t="shared" si="39"/>
        <v>0.16599999999999998</v>
      </c>
      <c r="AA47" s="106">
        <f t="shared" si="58"/>
        <v>6.8</v>
      </c>
      <c r="AB47" s="110" t="str">
        <f t="shared" si="59"/>
        <v>&lt;0.2</v>
      </c>
      <c r="AC47" s="106" t="str">
        <f t="shared" si="60"/>
        <v>&lt;0.2</v>
      </c>
      <c r="AD47" s="109" t="str">
        <f t="shared" si="61"/>
        <v>&lt;10</v>
      </c>
      <c r="AE47" s="223">
        <v>1874008</v>
      </c>
      <c r="AF47" s="106">
        <f t="shared" si="26"/>
        <v>6</v>
      </c>
      <c r="AG47" s="106" t="str">
        <f t="shared" si="27"/>
        <v>&lt;0.2</v>
      </c>
      <c r="AH47" s="106" t="str">
        <f t="shared" si="28"/>
        <v>&lt;0.2</v>
      </c>
      <c r="AI47" s="308" t="str">
        <f t="shared" si="29"/>
        <v>&lt;10</v>
      </c>
    </row>
    <row r="48" spans="1:36" ht="24.95" customHeight="1" x14ac:dyDescent="0.3">
      <c r="A48" s="213" t="str">
        <f t="shared" si="0"/>
        <v>Rancho Santa Margarita</v>
      </c>
      <c r="B48" s="223">
        <v>1874002</v>
      </c>
      <c r="C48" s="266" t="s">
        <v>155</v>
      </c>
      <c r="D48" s="106" t="str">
        <f t="shared" si="1"/>
        <v>Tijeras Creek</v>
      </c>
      <c r="E48" s="307">
        <f t="shared" si="63"/>
        <v>7</v>
      </c>
      <c r="F48" s="107">
        <f t="shared" si="3"/>
        <v>44417.418749999997</v>
      </c>
      <c r="G48" s="111">
        <f t="shared" si="62"/>
        <v>2.4800000000000003E-2</v>
      </c>
      <c r="H48" s="109">
        <f t="shared" si="40"/>
        <v>1462.3</v>
      </c>
      <c r="I48" s="111">
        <f t="shared" si="41"/>
        <v>8.67</v>
      </c>
      <c r="J48" s="108">
        <f t="shared" si="42"/>
        <v>2.2000000000000002</v>
      </c>
      <c r="K48" s="110">
        <f t="shared" si="43"/>
        <v>8.4600000000000009</v>
      </c>
      <c r="L48" s="109" t="str">
        <f t="shared" si="44"/>
        <v>&gt;=6300</v>
      </c>
      <c r="M48" s="109" t="str">
        <f t="shared" si="45"/>
        <v>&gt;=76000</v>
      </c>
      <c r="N48" s="108">
        <f t="shared" si="46"/>
        <v>3.1</v>
      </c>
      <c r="O48" s="108">
        <f t="shared" si="47"/>
        <v>0.86</v>
      </c>
      <c r="P48" s="216">
        <f t="shared" si="48"/>
        <v>3.96</v>
      </c>
      <c r="Q48" s="111">
        <f t="shared" si="49"/>
        <v>0.42421052631578954</v>
      </c>
      <c r="R48" s="106" t="str">
        <f t="shared" si="50"/>
        <v>&lt;0.05</v>
      </c>
      <c r="S48" s="110">
        <f t="shared" si="51"/>
        <v>7.0999999999999994E-2</v>
      </c>
      <c r="T48" s="110">
        <f t="shared" si="52"/>
        <v>5.0999999999999995E-3</v>
      </c>
      <c r="U48" s="109">
        <f t="shared" si="53"/>
        <v>438</v>
      </c>
      <c r="V48" s="106" t="str">
        <f t="shared" si="54"/>
        <v>&lt;0.2</v>
      </c>
      <c r="W48" s="108" t="str">
        <f t="shared" si="55"/>
        <v>&lt;2</v>
      </c>
      <c r="X48" s="106">
        <f t="shared" si="56"/>
        <v>0.22</v>
      </c>
      <c r="Y48" s="106">
        <f t="shared" si="57"/>
        <v>7.3999999999999996E-2</v>
      </c>
      <c r="Z48" s="111">
        <f t="shared" si="39"/>
        <v>0.14600000000000002</v>
      </c>
      <c r="AA48" s="106">
        <f t="shared" si="58"/>
        <v>4.5</v>
      </c>
      <c r="AB48" s="110" t="str">
        <f t="shared" si="59"/>
        <v>&lt;0.2</v>
      </c>
      <c r="AC48" s="106" t="str">
        <f t="shared" si="60"/>
        <v>&lt;0.2</v>
      </c>
      <c r="AD48" s="109">
        <f t="shared" si="61"/>
        <v>12</v>
      </c>
      <c r="AE48" s="223">
        <v>1874007</v>
      </c>
      <c r="AF48" s="106">
        <f t="shared" si="26"/>
        <v>3.8</v>
      </c>
      <c r="AG48" s="106" t="str">
        <f t="shared" si="27"/>
        <v>&lt;0.2</v>
      </c>
      <c r="AH48" s="106" t="str">
        <f t="shared" si="28"/>
        <v>&lt;0.2</v>
      </c>
      <c r="AI48" s="308" t="str">
        <f t="shared" si="29"/>
        <v>&lt;10</v>
      </c>
    </row>
    <row r="49" spans="1:36" ht="24.95" customHeight="1" x14ac:dyDescent="0.3">
      <c r="A49" s="213" t="str">
        <f t="shared" si="0"/>
        <v>Rancho Santa Margarita</v>
      </c>
      <c r="B49" s="223">
        <v>1874004</v>
      </c>
      <c r="C49" s="266" t="s">
        <v>156</v>
      </c>
      <c r="D49" s="106" t="str">
        <f t="shared" si="1"/>
        <v>Bell Creek</v>
      </c>
      <c r="E49" s="307">
        <f t="shared" si="63"/>
        <v>7</v>
      </c>
      <c r="F49" s="107">
        <f t="shared" si="3"/>
        <v>44417.425000000003</v>
      </c>
      <c r="G49" s="111">
        <f t="shared" si="62"/>
        <v>0.58285714285714285</v>
      </c>
      <c r="H49" s="109">
        <f t="shared" si="40"/>
        <v>2593</v>
      </c>
      <c r="I49" s="111">
        <f t="shared" si="41"/>
        <v>7.8</v>
      </c>
      <c r="J49" s="108">
        <f t="shared" si="42"/>
        <v>4.7</v>
      </c>
      <c r="K49" s="110">
        <f t="shared" si="43"/>
        <v>8.26</v>
      </c>
      <c r="L49" s="109" t="str">
        <f t="shared" si="44"/>
        <v>&gt;=800</v>
      </c>
      <c r="M49" s="109" t="str">
        <f t="shared" si="45"/>
        <v>&gt;=17000</v>
      </c>
      <c r="N49" s="108">
        <f t="shared" si="46"/>
        <v>2.2999999999999998</v>
      </c>
      <c r="O49" s="108">
        <f t="shared" si="47"/>
        <v>1</v>
      </c>
      <c r="P49" s="216">
        <f t="shared" si="48"/>
        <v>3.3</v>
      </c>
      <c r="Q49" s="111">
        <f t="shared" si="49"/>
        <v>0.32631578947368423</v>
      </c>
      <c r="R49" s="106">
        <f t="shared" si="50"/>
        <v>6.3E-2</v>
      </c>
      <c r="S49" s="108">
        <f t="shared" ref="S49:S55" si="64">VLOOKUP($B49,WaterQuality, 85, FALSE)/1000</f>
        <v>1.2</v>
      </c>
      <c r="T49" s="110">
        <f t="shared" si="52"/>
        <v>0.56000000000000005</v>
      </c>
      <c r="U49" s="109">
        <f t="shared" si="53"/>
        <v>777</v>
      </c>
      <c r="V49" s="106" t="str">
        <f t="shared" si="54"/>
        <v>&lt;0.2</v>
      </c>
      <c r="W49" s="108">
        <f t="shared" si="55"/>
        <v>4</v>
      </c>
      <c r="X49" s="106">
        <f t="shared" si="56"/>
        <v>0.24</v>
      </c>
      <c r="Y49" s="106" t="str">
        <f t="shared" si="57"/>
        <v>&lt;0.02</v>
      </c>
      <c r="Z49" s="111" t="s">
        <v>255</v>
      </c>
      <c r="AA49" s="106">
        <f t="shared" si="58"/>
        <v>6.1</v>
      </c>
      <c r="AB49" s="110" t="str">
        <f t="shared" si="59"/>
        <v>&lt;0.2</v>
      </c>
      <c r="AC49" s="106" t="str">
        <f t="shared" si="60"/>
        <v>&lt;0.2</v>
      </c>
      <c r="AD49" s="109" t="str">
        <f t="shared" si="61"/>
        <v>&lt;10</v>
      </c>
      <c r="AE49" s="223">
        <v>1874009</v>
      </c>
      <c r="AF49" s="106">
        <f t="shared" si="26"/>
        <v>5.2</v>
      </c>
      <c r="AG49" s="106" t="str">
        <f t="shared" si="27"/>
        <v>&lt;0.2</v>
      </c>
      <c r="AH49" s="106" t="str">
        <f t="shared" si="28"/>
        <v>&lt;0.2</v>
      </c>
      <c r="AI49" s="308" t="str">
        <f t="shared" si="29"/>
        <v>&lt;10</v>
      </c>
    </row>
    <row r="50" spans="1:36" ht="24.95" customHeight="1" x14ac:dyDescent="0.3">
      <c r="A50" s="213" t="str">
        <f t="shared" si="0"/>
        <v>San Clemente</v>
      </c>
      <c r="B50" s="223">
        <v>1935002</v>
      </c>
      <c r="C50" s="266" t="s">
        <v>157</v>
      </c>
      <c r="D50" s="106" t="str">
        <f t="shared" si="1"/>
        <v>Prima Deshecha</v>
      </c>
      <c r="E50" s="307">
        <f t="shared" si="63"/>
        <v>6</v>
      </c>
      <c r="F50" s="107">
        <f t="shared" si="3"/>
        <v>44453.34652777778</v>
      </c>
      <c r="G50" s="111">
        <f t="shared" si="62"/>
        <v>9.036144578313253E-2</v>
      </c>
      <c r="H50" s="109">
        <f t="shared" si="40"/>
        <v>4153.8999999999996</v>
      </c>
      <c r="I50" s="111">
        <f t="shared" si="41"/>
        <v>8.9</v>
      </c>
      <c r="J50" s="110">
        <f t="shared" si="42"/>
        <v>0.76</v>
      </c>
      <c r="K50" s="110">
        <f t="shared" si="43"/>
        <v>7.92</v>
      </c>
      <c r="L50" s="109" t="str">
        <f t="shared" si="44"/>
        <v>&gt;=14600</v>
      </c>
      <c r="M50" s="109" t="str">
        <f t="shared" si="45"/>
        <v>&gt;=41000</v>
      </c>
      <c r="N50" s="109">
        <f t="shared" si="46"/>
        <v>3.3</v>
      </c>
      <c r="O50" s="108">
        <f t="shared" si="47"/>
        <v>1</v>
      </c>
      <c r="P50" s="216">
        <f t="shared" si="48"/>
        <v>4.3</v>
      </c>
      <c r="Q50" s="111">
        <f t="shared" si="49"/>
        <v>0.29694736842105263</v>
      </c>
      <c r="R50" s="106">
        <f t="shared" si="50"/>
        <v>6.3E-2</v>
      </c>
      <c r="S50" s="110">
        <f t="shared" si="64"/>
        <v>9.2999999999999999E-2</v>
      </c>
      <c r="T50" s="110">
        <f t="shared" si="52"/>
        <v>0.5</v>
      </c>
      <c r="U50" s="109">
        <f t="shared" si="53"/>
        <v>1250</v>
      </c>
      <c r="V50" s="106">
        <f t="shared" si="54"/>
        <v>7.1</v>
      </c>
      <c r="W50" s="117">
        <f t="shared" si="55"/>
        <v>62</v>
      </c>
      <c r="X50" s="106">
        <f t="shared" si="56"/>
        <v>0.32</v>
      </c>
      <c r="Y50" s="106">
        <f t="shared" si="57"/>
        <v>3.4000000000000002E-2</v>
      </c>
      <c r="Z50" s="111">
        <f t="shared" si="39"/>
        <v>0.28600000000000003</v>
      </c>
      <c r="AA50" s="106">
        <f t="shared" si="58"/>
        <v>5.2</v>
      </c>
      <c r="AB50" s="110" t="str">
        <f t="shared" si="59"/>
        <v>&lt;0.2</v>
      </c>
      <c r="AC50" s="106" t="str">
        <f t="shared" si="60"/>
        <v>&lt;0.2</v>
      </c>
      <c r="AD50" s="109">
        <f t="shared" si="61"/>
        <v>30</v>
      </c>
      <c r="AE50" s="223">
        <v>1935008</v>
      </c>
      <c r="AF50" s="106">
        <f t="shared" si="26"/>
        <v>4.5999999999999996</v>
      </c>
      <c r="AG50" s="106" t="str">
        <f t="shared" si="27"/>
        <v>&lt;0.2</v>
      </c>
      <c r="AH50" s="106" t="str">
        <f t="shared" si="28"/>
        <v>&lt;0.2</v>
      </c>
      <c r="AI50" s="308">
        <f t="shared" si="29"/>
        <v>26</v>
      </c>
    </row>
    <row r="51" spans="1:36" ht="24.95" customHeight="1" x14ac:dyDescent="0.3">
      <c r="A51" s="213" t="str">
        <f t="shared" si="0"/>
        <v>San Clemente</v>
      </c>
      <c r="B51" s="223">
        <v>1935001</v>
      </c>
      <c r="C51" s="266" t="s">
        <v>162</v>
      </c>
      <c r="D51" s="106" t="str">
        <f t="shared" si="1"/>
        <v>Segunda Deshecha</v>
      </c>
      <c r="E51" s="307">
        <f t="shared" si="63"/>
        <v>6</v>
      </c>
      <c r="F51" s="107">
        <f t="shared" si="3"/>
        <v>44453.365972222222</v>
      </c>
      <c r="G51" s="111">
        <f t="shared" si="62"/>
        <v>2.5714285714285717E-3</v>
      </c>
      <c r="H51" s="109">
        <f t="shared" si="40"/>
        <v>1163</v>
      </c>
      <c r="I51" s="111">
        <f t="shared" si="41"/>
        <v>8.5</v>
      </c>
      <c r="J51" s="108">
        <f t="shared" si="42"/>
        <v>1</v>
      </c>
      <c r="K51" s="110">
        <f t="shared" si="43"/>
        <v>8.6999999999999993</v>
      </c>
      <c r="L51" s="109" t="str">
        <f t="shared" si="44"/>
        <v>&gt;=2500</v>
      </c>
      <c r="M51" s="109" t="str">
        <f t="shared" si="45"/>
        <v>&gt;=37000</v>
      </c>
      <c r="N51" s="108">
        <f t="shared" si="46"/>
        <v>1.2</v>
      </c>
      <c r="O51" s="108">
        <f t="shared" si="47"/>
        <v>0.77</v>
      </c>
      <c r="P51" s="216">
        <f t="shared" si="48"/>
        <v>1.97</v>
      </c>
      <c r="Q51" s="111">
        <f t="shared" si="49"/>
        <v>0.45684210526315788</v>
      </c>
      <c r="R51" s="106" t="str">
        <f t="shared" si="50"/>
        <v>&lt;0.05</v>
      </c>
      <c r="S51" s="110">
        <f t="shared" si="64"/>
        <v>8.7999999999999995E-2</v>
      </c>
      <c r="T51" s="347">
        <f t="shared" si="52"/>
        <v>3.2000000000000002E-3</v>
      </c>
      <c r="U51" s="109">
        <f t="shared" si="53"/>
        <v>312</v>
      </c>
      <c r="V51" s="106" t="str">
        <f t="shared" si="54"/>
        <v>&lt;0.2</v>
      </c>
      <c r="W51" s="109" t="str">
        <f t="shared" si="55"/>
        <v>&lt;2</v>
      </c>
      <c r="X51" s="106">
        <f t="shared" si="56"/>
        <v>0.38</v>
      </c>
      <c r="Y51" s="106">
        <f t="shared" si="57"/>
        <v>9.5000000000000001E-2</v>
      </c>
      <c r="Z51" s="111">
        <f t="shared" si="39"/>
        <v>0.28500000000000003</v>
      </c>
      <c r="AA51" s="106">
        <f t="shared" si="58"/>
        <v>5.3</v>
      </c>
      <c r="AB51" s="110" t="str">
        <f t="shared" si="59"/>
        <v>&lt;0.2</v>
      </c>
      <c r="AC51" s="106" t="str">
        <f t="shared" si="60"/>
        <v>&lt;0.2</v>
      </c>
      <c r="AD51" s="109" t="str">
        <f t="shared" si="61"/>
        <v>&lt;10</v>
      </c>
      <c r="AE51" s="223">
        <v>1935007</v>
      </c>
      <c r="AF51" s="106">
        <f t="shared" si="26"/>
        <v>4.5</v>
      </c>
      <c r="AG51" s="106">
        <f t="shared" si="27"/>
        <v>0.2</v>
      </c>
      <c r="AH51" s="106" t="str">
        <f t="shared" si="28"/>
        <v>&lt;0.2</v>
      </c>
      <c r="AI51" s="308" t="str">
        <f t="shared" si="29"/>
        <v>&lt;10</v>
      </c>
    </row>
    <row r="52" spans="1:36" ht="24.95" customHeight="1" x14ac:dyDescent="0.3">
      <c r="A52" s="213" t="str">
        <f t="shared" si="0"/>
        <v>San Clemente</v>
      </c>
      <c r="B52" s="223">
        <v>1935005</v>
      </c>
      <c r="C52" s="266" t="s">
        <v>163</v>
      </c>
      <c r="D52" s="106" t="str">
        <f t="shared" si="1"/>
        <v>Segunda Deshecha</v>
      </c>
      <c r="E52" s="307">
        <f t="shared" si="63"/>
        <v>6</v>
      </c>
      <c r="F52" s="107">
        <f t="shared" si="3"/>
        <v>44453.393055555556</v>
      </c>
      <c r="G52" s="111">
        <f t="shared" si="62"/>
        <v>8.5499999999999993E-2</v>
      </c>
      <c r="H52" s="109">
        <f t="shared" si="40"/>
        <v>5961.5</v>
      </c>
      <c r="I52" s="111">
        <f t="shared" si="41"/>
        <v>8.52</v>
      </c>
      <c r="J52" s="108">
        <f t="shared" si="42"/>
        <v>8.6</v>
      </c>
      <c r="K52" s="110">
        <f t="shared" si="43"/>
        <v>6.82</v>
      </c>
      <c r="L52" s="109">
        <f t="shared" si="44"/>
        <v>2000</v>
      </c>
      <c r="M52" s="109" t="str">
        <f t="shared" si="45"/>
        <v>&gt;=6000</v>
      </c>
      <c r="N52" s="108">
        <f t="shared" si="46"/>
        <v>3.3</v>
      </c>
      <c r="O52" s="108">
        <f t="shared" si="47"/>
        <v>4</v>
      </c>
      <c r="P52" s="216">
        <f t="shared" si="48"/>
        <v>7.3</v>
      </c>
      <c r="Q52" s="111">
        <f t="shared" si="49"/>
        <v>0.52210526315789474</v>
      </c>
      <c r="R52" s="106" t="str">
        <f t="shared" si="50"/>
        <v>&lt;0.05</v>
      </c>
      <c r="S52" s="110">
        <f t="shared" si="64"/>
        <v>0.81</v>
      </c>
      <c r="T52" s="108">
        <f t="shared" si="52"/>
        <v>3.6</v>
      </c>
      <c r="U52" s="109">
        <f t="shared" si="53"/>
        <v>2260</v>
      </c>
      <c r="V52" s="106">
        <f t="shared" si="54"/>
        <v>110</v>
      </c>
      <c r="W52" s="109">
        <f t="shared" si="55"/>
        <v>690</v>
      </c>
      <c r="X52" s="106">
        <f t="shared" si="56"/>
        <v>0.84</v>
      </c>
      <c r="Y52" s="106" t="str">
        <f t="shared" si="57"/>
        <v>&lt;0.02</v>
      </c>
      <c r="Z52" s="111" t="s">
        <v>264</v>
      </c>
      <c r="AA52" s="106">
        <f t="shared" si="58"/>
        <v>4.9000000000000004</v>
      </c>
      <c r="AB52" s="110" t="str">
        <f t="shared" si="59"/>
        <v>&lt;0.2</v>
      </c>
      <c r="AC52" s="106" t="str">
        <f t="shared" si="60"/>
        <v>&lt;0.2</v>
      </c>
      <c r="AD52" s="109">
        <f t="shared" si="61"/>
        <v>310</v>
      </c>
      <c r="AE52" s="223">
        <v>1935011</v>
      </c>
      <c r="AF52" s="106">
        <f t="shared" si="26"/>
        <v>4.2</v>
      </c>
      <c r="AG52" s="106" t="str">
        <f t="shared" si="27"/>
        <v>&lt;0.2</v>
      </c>
      <c r="AH52" s="106" t="str">
        <f t="shared" si="28"/>
        <v>&lt;0.2</v>
      </c>
      <c r="AI52" s="308">
        <f t="shared" si="29"/>
        <v>280</v>
      </c>
    </row>
    <row r="53" spans="1:36" ht="24.95" customHeight="1" x14ac:dyDescent="0.3">
      <c r="A53" s="213" t="str">
        <f t="shared" si="0"/>
        <v>San Clemente</v>
      </c>
      <c r="B53" s="223">
        <v>1935003</v>
      </c>
      <c r="C53" s="266" t="s">
        <v>160</v>
      </c>
      <c r="D53" s="106" t="str">
        <f t="shared" si="1"/>
        <v>Segunda Deshecha</v>
      </c>
      <c r="E53" s="307">
        <f t="shared" si="63"/>
        <v>6</v>
      </c>
      <c r="F53" s="107">
        <f t="shared" si="3"/>
        <v>44453.406944444447</v>
      </c>
      <c r="G53" s="111">
        <f t="shared" si="62"/>
        <v>0.54</v>
      </c>
      <c r="H53" s="109">
        <f t="shared" si="40"/>
        <v>2416</v>
      </c>
      <c r="I53" s="111">
        <f t="shared" si="41"/>
        <v>8.74</v>
      </c>
      <c r="J53" s="108">
        <f t="shared" si="42"/>
        <v>2.5</v>
      </c>
      <c r="K53" s="110">
        <f t="shared" si="43"/>
        <v>8.67</v>
      </c>
      <c r="L53" s="109">
        <f t="shared" si="44"/>
        <v>400</v>
      </c>
      <c r="M53" s="109" t="str">
        <f t="shared" si="45"/>
        <v>&gt;=6400</v>
      </c>
      <c r="N53" s="108">
        <f t="shared" si="46"/>
        <v>4.3</v>
      </c>
      <c r="O53" s="108">
        <f t="shared" si="47"/>
        <v>2.4</v>
      </c>
      <c r="P53" s="216">
        <f t="shared" si="48"/>
        <v>6.6999999999999993</v>
      </c>
      <c r="Q53" s="111">
        <f t="shared" si="49"/>
        <v>0.45684210526315788</v>
      </c>
      <c r="R53" s="106" t="str">
        <f t="shared" si="50"/>
        <v>&lt;0.05</v>
      </c>
      <c r="S53" s="108">
        <f t="shared" si="64"/>
        <v>3.2</v>
      </c>
      <c r="T53" s="110">
        <f t="shared" si="52"/>
        <v>0.46</v>
      </c>
      <c r="U53" s="109">
        <f t="shared" si="53"/>
        <v>681</v>
      </c>
      <c r="V53" s="106">
        <f t="shared" si="54"/>
        <v>1.5</v>
      </c>
      <c r="W53" s="109">
        <f t="shared" si="55"/>
        <v>18</v>
      </c>
      <c r="X53" s="106">
        <f t="shared" si="56"/>
        <v>4.0999999999999996</v>
      </c>
      <c r="Y53" s="106">
        <f t="shared" si="57"/>
        <v>4.8000000000000001E-2</v>
      </c>
      <c r="Z53" s="111">
        <f t="shared" si="39"/>
        <v>4.0519999999999996</v>
      </c>
      <c r="AA53" s="106">
        <f t="shared" si="58"/>
        <v>7.7</v>
      </c>
      <c r="AB53" s="108">
        <f t="shared" si="59"/>
        <v>1.1000000000000001</v>
      </c>
      <c r="AC53" s="106" t="str">
        <f t="shared" si="60"/>
        <v>&lt;0.2</v>
      </c>
      <c r="AD53" s="109">
        <f t="shared" si="61"/>
        <v>47</v>
      </c>
      <c r="AE53" s="223">
        <v>1935009</v>
      </c>
      <c r="AF53" s="106">
        <f t="shared" si="26"/>
        <v>2.2000000000000002</v>
      </c>
      <c r="AG53" s="106" t="str">
        <f t="shared" si="27"/>
        <v>&lt;0.2</v>
      </c>
      <c r="AH53" s="106" t="str">
        <f t="shared" si="28"/>
        <v>&lt;0.2</v>
      </c>
      <c r="AI53" s="308" t="str">
        <f t="shared" si="29"/>
        <v>&lt;10</v>
      </c>
    </row>
    <row r="54" spans="1:36" ht="24.95" customHeight="1" x14ac:dyDescent="0.3">
      <c r="A54" s="213" t="str">
        <f t="shared" si="0"/>
        <v>San Clemente</v>
      </c>
      <c r="B54" s="223">
        <v>1935006</v>
      </c>
      <c r="C54" s="266" t="s">
        <v>166</v>
      </c>
      <c r="D54" s="106" t="str">
        <f t="shared" si="1"/>
        <v>Segunda Deshecha</v>
      </c>
      <c r="E54" s="307">
        <f t="shared" si="63"/>
        <v>6</v>
      </c>
      <c r="F54" s="107">
        <f t="shared" si="3"/>
        <v>44453.420138888891</v>
      </c>
      <c r="G54" s="111">
        <f t="shared" si="62"/>
        <v>0.126</v>
      </c>
      <c r="H54" s="109">
        <f t="shared" si="40"/>
        <v>2179.8000000000002</v>
      </c>
      <c r="I54" s="111">
        <f t="shared" si="41"/>
        <v>8.69</v>
      </c>
      <c r="J54" s="110">
        <f t="shared" si="42"/>
        <v>0.9</v>
      </c>
      <c r="K54" s="110">
        <f t="shared" si="43"/>
        <v>7.76</v>
      </c>
      <c r="L54" s="109">
        <f t="shared" si="44"/>
        <v>1400</v>
      </c>
      <c r="M54" s="109" t="str">
        <f t="shared" si="45"/>
        <v>&gt;=39000</v>
      </c>
      <c r="N54" s="108">
        <f t="shared" si="46"/>
        <v>4.4000000000000004</v>
      </c>
      <c r="O54" s="108">
        <f t="shared" si="47"/>
        <v>0.96</v>
      </c>
      <c r="P54" s="216">
        <f t="shared" si="48"/>
        <v>5.36</v>
      </c>
      <c r="Q54" s="111">
        <f t="shared" si="49"/>
        <v>0.48947368421052634</v>
      </c>
      <c r="R54" s="106" t="str">
        <f t="shared" si="50"/>
        <v>&lt;0.05</v>
      </c>
      <c r="S54" s="110">
        <f t="shared" si="64"/>
        <v>6.0999999999999999E-2</v>
      </c>
      <c r="T54" s="110">
        <f t="shared" si="52"/>
        <v>1.7999999999999999E-2</v>
      </c>
      <c r="U54" s="109">
        <f t="shared" si="53"/>
        <v>619</v>
      </c>
      <c r="V54" s="106">
        <f t="shared" si="54"/>
        <v>1.2</v>
      </c>
      <c r="W54" s="109">
        <f t="shared" si="55"/>
        <v>9.6999999999999993</v>
      </c>
      <c r="X54" s="106">
        <f t="shared" si="56"/>
        <v>0.51</v>
      </c>
      <c r="Y54" s="106">
        <f t="shared" si="57"/>
        <v>0.16</v>
      </c>
      <c r="Z54" s="111">
        <f t="shared" si="39"/>
        <v>0.35</v>
      </c>
      <c r="AA54" s="106">
        <f t="shared" si="58"/>
        <v>5.8</v>
      </c>
      <c r="AB54" s="110" t="str">
        <f t="shared" si="59"/>
        <v>&lt;0.2</v>
      </c>
      <c r="AC54" s="106" t="str">
        <f t="shared" si="60"/>
        <v>&lt;0.2</v>
      </c>
      <c r="AD54" s="109" t="str">
        <f t="shared" si="61"/>
        <v>&lt;10</v>
      </c>
      <c r="AE54" s="223">
        <v>1935012</v>
      </c>
      <c r="AF54" s="106">
        <f t="shared" si="26"/>
        <v>5.0999999999999996</v>
      </c>
      <c r="AG54" s="106" t="str">
        <f t="shared" si="27"/>
        <v>&lt;0.2</v>
      </c>
      <c r="AH54" s="106" t="str">
        <f t="shared" si="28"/>
        <v>&lt;0.2</v>
      </c>
      <c r="AI54" s="308" t="str">
        <f t="shared" si="29"/>
        <v>&lt;10</v>
      </c>
    </row>
    <row r="55" spans="1:36" ht="24.95" customHeight="1" x14ac:dyDescent="0.3">
      <c r="A55" s="213" t="str">
        <f t="shared" si="0"/>
        <v>San Clemente</v>
      </c>
      <c r="B55" s="223">
        <v>1935004</v>
      </c>
      <c r="C55" s="266" t="s">
        <v>161</v>
      </c>
      <c r="D55" s="106" t="str">
        <f t="shared" si="1"/>
        <v>Segunda Deshecha</v>
      </c>
      <c r="E55" s="307">
        <f t="shared" si="63"/>
        <v>6</v>
      </c>
      <c r="F55" s="107">
        <f t="shared" si="3"/>
        <v>44453.449305555558</v>
      </c>
      <c r="G55" s="111">
        <f t="shared" si="62"/>
        <v>0.77520000000000011</v>
      </c>
      <c r="H55" s="109">
        <f t="shared" si="40"/>
        <v>3834</v>
      </c>
      <c r="I55" s="111">
        <f t="shared" si="41"/>
        <v>7.47</v>
      </c>
      <c r="J55" s="108">
        <f t="shared" si="42"/>
        <v>2.5</v>
      </c>
      <c r="K55" s="110">
        <f t="shared" si="43"/>
        <v>8.1</v>
      </c>
      <c r="L55" s="109">
        <f t="shared" si="44"/>
        <v>2100</v>
      </c>
      <c r="M55" s="109" t="str">
        <f t="shared" si="45"/>
        <v>&gt;=21000</v>
      </c>
      <c r="N55" s="108">
        <f t="shared" si="46"/>
        <v>4.7</v>
      </c>
      <c r="O55" s="108">
        <f t="shared" si="47"/>
        <v>1.9</v>
      </c>
      <c r="P55" s="216">
        <f t="shared" si="48"/>
        <v>6.6</v>
      </c>
      <c r="Q55" s="111">
        <f t="shared" si="49"/>
        <v>0.42421052631578954</v>
      </c>
      <c r="R55" s="106" t="str">
        <f t="shared" si="50"/>
        <v>&lt;0.05</v>
      </c>
      <c r="S55" s="110">
        <f t="shared" si="64"/>
        <v>0.92</v>
      </c>
      <c r="T55" s="110">
        <f t="shared" si="52"/>
        <v>0.47</v>
      </c>
      <c r="U55" s="109">
        <f t="shared" si="53"/>
        <v>1240</v>
      </c>
      <c r="V55" s="106">
        <f t="shared" si="54"/>
        <v>6.2</v>
      </c>
      <c r="W55" s="109">
        <f t="shared" si="55"/>
        <v>62</v>
      </c>
      <c r="X55" s="106">
        <f t="shared" si="56"/>
        <v>1.6</v>
      </c>
      <c r="Y55" s="106" t="str">
        <f t="shared" si="57"/>
        <v>&lt;0.02</v>
      </c>
      <c r="Z55" s="111" t="s">
        <v>265</v>
      </c>
      <c r="AA55" s="106">
        <f t="shared" si="58"/>
        <v>5.0999999999999996</v>
      </c>
      <c r="AB55" s="110">
        <f t="shared" si="59"/>
        <v>0.36</v>
      </c>
      <c r="AC55" s="106" t="str">
        <f t="shared" si="60"/>
        <v>&lt;0.2</v>
      </c>
      <c r="AD55" s="109">
        <f t="shared" si="61"/>
        <v>33</v>
      </c>
      <c r="AE55" s="223">
        <v>1935010</v>
      </c>
      <c r="AF55" s="106">
        <f t="shared" si="26"/>
        <v>2.7</v>
      </c>
      <c r="AG55" s="106" t="str">
        <f t="shared" si="27"/>
        <v>&lt;0.2</v>
      </c>
      <c r="AH55" s="106" t="str">
        <f t="shared" si="28"/>
        <v>&lt;0.2</v>
      </c>
      <c r="AI55" s="308">
        <f t="shared" si="29"/>
        <v>16</v>
      </c>
    </row>
    <row r="56" spans="1:36" ht="24.95" customHeight="1" x14ac:dyDescent="0.3">
      <c r="A56" s="213" t="str">
        <f t="shared" si="0"/>
        <v>San Juan Capistrano</v>
      </c>
      <c r="B56" s="223"/>
      <c r="C56" s="105" t="s">
        <v>167</v>
      </c>
      <c r="D56" s="106" t="str">
        <f t="shared" si="1"/>
        <v xml:space="preserve">San Juan Creek </v>
      </c>
      <c r="E56" s="307" t="s">
        <v>231</v>
      </c>
      <c r="F56" s="107">
        <v>44440.432638888888</v>
      </c>
      <c r="G56" s="111">
        <f t="shared" si="62"/>
        <v>0</v>
      </c>
      <c r="H56" s="272"/>
      <c r="I56" s="274"/>
      <c r="J56" s="271"/>
      <c r="K56" s="271"/>
      <c r="L56" s="272"/>
      <c r="M56" s="272"/>
      <c r="N56" s="271"/>
      <c r="O56" s="271"/>
      <c r="P56" s="276"/>
      <c r="Q56" s="274"/>
      <c r="R56" s="275"/>
      <c r="S56" s="273"/>
      <c r="T56" s="273"/>
      <c r="U56" s="272"/>
      <c r="V56" s="275"/>
      <c r="W56" s="271"/>
      <c r="X56" s="275"/>
      <c r="Y56" s="275"/>
      <c r="Z56" s="275"/>
      <c r="AA56" s="275"/>
      <c r="AB56" s="273"/>
      <c r="AC56" s="275"/>
      <c r="AD56" s="272"/>
      <c r="AE56" s="331"/>
      <c r="AF56" s="275"/>
      <c r="AG56" s="275"/>
      <c r="AH56" s="275"/>
      <c r="AI56" s="310"/>
    </row>
    <row r="57" spans="1:36" ht="24.95" customHeight="1" x14ac:dyDescent="0.3">
      <c r="A57" s="213" t="str">
        <f t="shared" si="0"/>
        <v>San Juan Capistrano</v>
      </c>
      <c r="B57" s="223"/>
      <c r="C57" s="105" t="s">
        <v>168</v>
      </c>
      <c r="D57" s="106" t="str">
        <f t="shared" si="1"/>
        <v xml:space="preserve">San Juan Creek </v>
      </c>
      <c r="E57" s="307" t="s">
        <v>238</v>
      </c>
      <c r="F57" s="107">
        <v>44440.429861111108</v>
      </c>
      <c r="G57" s="111">
        <f t="shared" si="62"/>
        <v>0</v>
      </c>
      <c r="H57" s="272"/>
      <c r="I57" s="274"/>
      <c r="J57" s="271"/>
      <c r="K57" s="271"/>
      <c r="L57" s="272"/>
      <c r="M57" s="272"/>
      <c r="N57" s="271"/>
      <c r="O57" s="271"/>
      <c r="P57" s="276"/>
      <c r="Q57" s="274"/>
      <c r="R57" s="275"/>
      <c r="S57" s="273"/>
      <c r="T57" s="273"/>
      <c r="U57" s="272"/>
      <c r="V57" s="275"/>
      <c r="W57" s="271"/>
      <c r="X57" s="275"/>
      <c r="Y57" s="275"/>
      <c r="Z57" s="275"/>
      <c r="AA57" s="275"/>
      <c r="AB57" s="273"/>
      <c r="AC57" s="275"/>
      <c r="AD57" s="272"/>
      <c r="AE57" s="331"/>
      <c r="AF57" s="275"/>
      <c r="AG57" s="275"/>
      <c r="AH57" s="275"/>
      <c r="AI57" s="310"/>
    </row>
    <row r="58" spans="1:36" ht="24.95" customHeight="1" x14ac:dyDescent="0.3">
      <c r="A58" s="213" t="str">
        <f t="shared" si="0"/>
        <v>San Juan Capistrano</v>
      </c>
      <c r="B58" s="223">
        <v>1914002</v>
      </c>
      <c r="C58" s="266" t="s">
        <v>170</v>
      </c>
      <c r="D58" s="106" t="str">
        <f t="shared" si="1"/>
        <v xml:space="preserve">San Juan Creek </v>
      </c>
      <c r="E58" s="307" t="s">
        <v>239</v>
      </c>
      <c r="F58" s="107">
        <f t="shared" si="3"/>
        <v>44440.396527777775</v>
      </c>
      <c r="G58" s="111">
        <f t="shared" si="62"/>
        <v>0.24975000000000003</v>
      </c>
      <c r="H58" s="109">
        <f>VLOOKUP($B58, WaterQuality, 117, FALSE)</f>
        <v>5279.4</v>
      </c>
      <c r="I58" s="236">
        <f>VLOOKUP($B58, WaterQuality, 115, FALSE)</f>
        <v>5</v>
      </c>
      <c r="J58" s="108">
        <f>VLOOKUP($B58,WaterQuality, 110, FALSE)</f>
        <v>1.2</v>
      </c>
      <c r="K58" s="110">
        <f>VLOOKUP($B58,WaterQuality, 116, FALSE)</f>
        <v>7.94</v>
      </c>
      <c r="L58" s="109" t="str">
        <f>VLOOKUP($B58,WaterQuality, 113, FALSE)</f>
        <v>&gt;=1860</v>
      </c>
      <c r="M58" s="109" t="str">
        <f>VLOOKUP($B58, WaterQuality, 114, FALSE)</f>
        <v>&gt;=9600</v>
      </c>
      <c r="N58" s="108">
        <f>VLOOKUP($B58,WaterQuality, 99, FALSE)</f>
        <v>1.1000000000000001</v>
      </c>
      <c r="O58" s="110">
        <f>VLOOKUP($B58,WaterQuality, 100, FALSE)</f>
        <v>0.91</v>
      </c>
      <c r="P58" s="216">
        <f>N58+O58</f>
        <v>2.0100000000000002</v>
      </c>
      <c r="Q58" s="111">
        <f>VLOOKUP($B58, WaterQuality, 103, FALSE)*31/95</f>
        <v>0.45684210526315788</v>
      </c>
      <c r="R58" s="106" t="str">
        <f>VLOOKUP($B58,WaterQuality, 89, FALSE)</f>
        <v>&lt;0.05</v>
      </c>
      <c r="S58" s="110">
        <f>VLOOKUP($B58,WaterQuality, 85, FALSE)/1000</f>
        <v>7.1999999999999995E-2</v>
      </c>
      <c r="T58" s="110">
        <f>VLOOKUP($B58,WaterQuality, 88, FALSE)/1000</f>
        <v>5.3999999999999999E-2</v>
      </c>
      <c r="U58" s="109">
        <f>VLOOKUP($B58,WaterQuality, 84, FALSE)</f>
        <v>1950</v>
      </c>
      <c r="V58" s="112">
        <f>VLOOKUP($B58,WaterQuality, 78, FALSE)</f>
        <v>4</v>
      </c>
      <c r="W58" s="109">
        <f>VLOOKUP($B58,WaterQuality, 91, FALSE)</f>
        <v>34</v>
      </c>
      <c r="X58" s="106">
        <f>VLOOKUP($B58,WaterQuality, 81, FALSE)</f>
        <v>0.25</v>
      </c>
      <c r="Y58" s="106" t="str">
        <f>VLOOKUP($B58,WaterQuality, 80, FALSE)</f>
        <v>&lt;0.02</v>
      </c>
      <c r="Z58" s="111" t="s">
        <v>122</v>
      </c>
      <c r="AA58" s="106">
        <f>VLOOKUP($B58,WaterQuality, 82, FALSE)</f>
        <v>3.6</v>
      </c>
      <c r="AB58" s="110" t="str">
        <f>VLOOKUP($B58,WaterQuality, 86, FALSE)</f>
        <v>&lt;0.2</v>
      </c>
      <c r="AC58" s="106" t="str">
        <f>VLOOKUP($B58,WaterQuality, 93, FALSE)</f>
        <v>&lt;0.2</v>
      </c>
      <c r="AD58" s="109" t="str">
        <f>VLOOKUP($B58,WaterQuality, 96, FALSE)</f>
        <v>&lt;10</v>
      </c>
      <c r="AE58" s="223">
        <v>1914007</v>
      </c>
      <c r="AF58" s="106">
        <f t="shared" si="26"/>
        <v>2.8</v>
      </c>
      <c r="AG58" s="106" t="str">
        <f t="shared" si="27"/>
        <v>&lt;0.2</v>
      </c>
      <c r="AH58" s="106" t="str">
        <f t="shared" si="28"/>
        <v>&lt;0.2</v>
      </c>
      <c r="AI58" s="308" t="str">
        <f t="shared" si="29"/>
        <v>&lt;10</v>
      </c>
    </row>
    <row r="59" spans="1:36" ht="24.95" customHeight="1" x14ac:dyDescent="0.3">
      <c r="A59" s="213" t="str">
        <f t="shared" si="0"/>
        <v>San Juan Capistrano</v>
      </c>
      <c r="B59" s="223">
        <v>1914005</v>
      </c>
      <c r="C59" s="266" t="s">
        <v>175</v>
      </c>
      <c r="D59" s="106" t="str">
        <f t="shared" si="1"/>
        <v xml:space="preserve">San Juan Creek </v>
      </c>
      <c r="E59" s="307">
        <f>VLOOKUP(D59, BU, 2, FALSE)</f>
        <v>7</v>
      </c>
      <c r="F59" s="107">
        <f t="shared" si="3"/>
        <v>44440.463194444441</v>
      </c>
      <c r="G59" s="111">
        <f t="shared" si="62"/>
        <v>8.6399999999999991E-2</v>
      </c>
      <c r="H59" s="109">
        <f>VLOOKUP($B59, WaterQuality, 117, FALSE)</f>
        <v>3221</v>
      </c>
      <c r="I59" s="124">
        <f>VLOOKUP($B59, WaterQuality, 115, FALSE)</f>
        <v>9.44</v>
      </c>
      <c r="J59" s="110">
        <f>VLOOKUP($B59,WaterQuality, 110, FALSE)</f>
        <v>0.38</v>
      </c>
      <c r="K59" s="110">
        <f>VLOOKUP($B59,WaterQuality, 116, FALSE)</f>
        <v>8.84</v>
      </c>
      <c r="L59" s="109">
        <f>VLOOKUP($B59,WaterQuality, 113, FALSE)</f>
        <v>1470</v>
      </c>
      <c r="M59" s="109" t="str">
        <f>VLOOKUP($B59, WaterQuality, 114, FALSE)</f>
        <v>&gt;=4500</v>
      </c>
      <c r="N59" s="108">
        <f>VLOOKUP($B59,WaterQuality, 99, FALSE)</f>
        <v>4.8</v>
      </c>
      <c r="O59" s="108">
        <f>VLOOKUP($B59,WaterQuality, 100, FALSE)</f>
        <v>0.22</v>
      </c>
      <c r="P59" s="216">
        <f>N59+O59</f>
        <v>5.0199999999999996</v>
      </c>
      <c r="Q59" s="111">
        <f>VLOOKUP($B59, WaterQuality, 103, FALSE)*31/95</f>
        <v>9.7894736842105257E-2</v>
      </c>
      <c r="R59" s="106" t="str">
        <f>VLOOKUP($B59,WaterQuality, 89, FALSE)</f>
        <v>&lt;0.05</v>
      </c>
      <c r="S59" s="110">
        <f>VLOOKUP($B59,WaterQuality, 85, FALSE)/1000</f>
        <v>3.1E-2</v>
      </c>
      <c r="T59" s="121" t="s">
        <v>266</v>
      </c>
      <c r="U59" s="109">
        <f>VLOOKUP($B59,WaterQuality, 84, FALSE)</f>
        <v>642</v>
      </c>
      <c r="V59" s="106" t="str">
        <f>VLOOKUP($B59,WaterQuality, 78, FALSE)</f>
        <v>&lt;0.2</v>
      </c>
      <c r="W59" s="108" t="str">
        <f>VLOOKUP($B59,WaterQuality, 91, FALSE)</f>
        <v>&lt;2</v>
      </c>
      <c r="X59" s="106">
        <f>VLOOKUP($B59,WaterQuality, 81, FALSE)</f>
        <v>0.66</v>
      </c>
      <c r="Y59" s="106">
        <f>VLOOKUP($B59,WaterQuality, 80, FALSE)</f>
        <v>0.64</v>
      </c>
      <c r="Z59" s="111">
        <f t="shared" ref="Z59" si="65">X59-Y59</f>
        <v>2.0000000000000018E-2</v>
      </c>
      <c r="AA59" s="106">
        <f>VLOOKUP($B59,WaterQuality, 82, FALSE)</f>
        <v>2.5</v>
      </c>
      <c r="AB59" s="110" t="str">
        <f>VLOOKUP($B59,WaterQuality, 86, FALSE)</f>
        <v>&lt;0.2</v>
      </c>
      <c r="AC59" s="106" t="str">
        <f>VLOOKUP($B59,WaterQuality, 93, FALSE)</f>
        <v>&lt;0.2</v>
      </c>
      <c r="AD59" s="109" t="str">
        <f>VLOOKUP($B59,WaterQuality, 96, FALSE)</f>
        <v>&lt;10</v>
      </c>
      <c r="AE59" s="223">
        <v>1914010</v>
      </c>
      <c r="AF59" s="106">
        <f t="shared" si="26"/>
        <v>2.2000000000000002</v>
      </c>
      <c r="AG59" s="106" t="str">
        <f t="shared" si="27"/>
        <v>&lt;0.2</v>
      </c>
      <c r="AH59" s="106" t="str">
        <f t="shared" si="28"/>
        <v>&lt;0.2</v>
      </c>
      <c r="AI59" s="308" t="str">
        <f t="shared" si="29"/>
        <v>&lt;10</v>
      </c>
      <c r="AJ59" s="171"/>
    </row>
    <row r="60" spans="1:36" ht="24.95" customHeight="1" x14ac:dyDescent="0.3">
      <c r="A60" s="313" t="str">
        <f t="shared" si="0"/>
        <v>San Juan Capistrano</v>
      </c>
      <c r="B60" s="338">
        <v>1914001</v>
      </c>
      <c r="C60" s="337" t="s">
        <v>173</v>
      </c>
      <c r="D60" s="130" t="str">
        <f t="shared" si="1"/>
        <v xml:space="preserve">Arroyo Trabuco </v>
      </c>
      <c r="E60" s="314">
        <f>VLOOKUP(D60, BU, 2, FALSE)</f>
        <v>7</v>
      </c>
      <c r="F60" s="353">
        <f t="shared" si="3"/>
        <v>44440.501388888886</v>
      </c>
      <c r="G60" s="348">
        <f t="shared" si="62"/>
        <v>1.5833333333333331E-2</v>
      </c>
      <c r="H60" s="127">
        <f>VLOOKUP($B60, WaterQuality, 117, FALSE)</f>
        <v>1099</v>
      </c>
      <c r="I60" s="129">
        <f>VLOOKUP($B60, WaterQuality, 115, FALSE)</f>
        <v>8.5299999999999994</v>
      </c>
      <c r="J60" s="126">
        <f>VLOOKUP($B60,WaterQuality, 110, FALSE)</f>
        <v>1.8</v>
      </c>
      <c r="K60" s="128">
        <f>VLOOKUP($B60,WaterQuality, 116, FALSE)</f>
        <v>8.2100000000000009</v>
      </c>
      <c r="L60" s="127">
        <f>VLOOKUP($B60,WaterQuality, 113, FALSE)</f>
        <v>4200</v>
      </c>
      <c r="M60" s="127" t="str">
        <f>VLOOKUP($B60, WaterQuality, 114, FALSE)</f>
        <v>&gt;=41000</v>
      </c>
      <c r="N60" s="128">
        <f>VLOOKUP($B60,WaterQuality, 99, FALSE)</f>
        <v>0.74</v>
      </c>
      <c r="O60" s="128">
        <f>VLOOKUP($B60,WaterQuality, 100, FALSE)</f>
        <v>1</v>
      </c>
      <c r="P60" s="315">
        <f>N60+O60</f>
        <v>1.74</v>
      </c>
      <c r="Q60" s="129">
        <f>VLOOKUP($B60, WaterQuality, 103, FALSE)*31/95</f>
        <v>0.52210526315789474</v>
      </c>
      <c r="R60" s="130">
        <f>VLOOKUP($B60,WaterQuality, 89, FALSE)</f>
        <v>0.14000000000000001</v>
      </c>
      <c r="S60" s="128">
        <f>VLOOKUP($B60,WaterQuality, 85, FALSE)/1000</f>
        <v>9.2999999999999999E-2</v>
      </c>
      <c r="T60" s="128">
        <f>VLOOKUP($B60,WaterQuality, 88, FALSE)/1000</f>
        <v>2.3E-2</v>
      </c>
      <c r="U60" s="127">
        <f>VLOOKUP($B60,WaterQuality, 84, FALSE)</f>
        <v>315</v>
      </c>
      <c r="V60" s="130" t="str">
        <f>VLOOKUP($B60,WaterQuality, 78, FALSE)</f>
        <v>&lt;0.2</v>
      </c>
      <c r="W60" s="126" t="str">
        <f>VLOOKUP($B60,WaterQuality, 91, FALSE)</f>
        <v>&lt;2</v>
      </c>
      <c r="X60" s="130" t="str">
        <f>VLOOKUP($B60,WaterQuality, 81, FALSE)</f>
        <v>&lt;0.2</v>
      </c>
      <c r="Y60" s="130" t="str">
        <f>VLOOKUP($B60,WaterQuality, 80, FALSE)</f>
        <v>&lt;0.02</v>
      </c>
      <c r="Z60" s="129" t="s">
        <v>254</v>
      </c>
      <c r="AA60" s="220">
        <f>VLOOKUP($B60,WaterQuality, 82, FALSE)</f>
        <v>4.2</v>
      </c>
      <c r="AB60" s="128">
        <f>VLOOKUP($B60,WaterQuality, 86, FALSE)</f>
        <v>0.23</v>
      </c>
      <c r="AC60" s="130" t="str">
        <f>VLOOKUP($B60,WaterQuality, 93, FALSE)</f>
        <v>&lt;0.2</v>
      </c>
      <c r="AD60" s="127">
        <f>VLOOKUP($B60,WaterQuality, 96, FALSE)</f>
        <v>11</v>
      </c>
      <c r="AE60" s="338">
        <v>1914006</v>
      </c>
      <c r="AF60" s="220">
        <f t="shared" si="26"/>
        <v>2.6</v>
      </c>
      <c r="AG60" s="128" t="str">
        <f t="shared" si="27"/>
        <v>&lt;0.2</v>
      </c>
      <c r="AH60" s="130" t="str">
        <f t="shared" si="28"/>
        <v>&lt;0.2</v>
      </c>
      <c r="AI60" s="355" t="str">
        <f t="shared" si="29"/>
        <v>&lt;10</v>
      </c>
    </row>
    <row r="61" spans="1:36" ht="24.95" customHeight="1" x14ac:dyDescent="0.3">
      <c r="A61" s="182"/>
      <c r="B61" s="182"/>
      <c r="C61" s="183"/>
      <c r="D61" s="184"/>
      <c r="E61" s="185"/>
      <c r="F61" s="186"/>
      <c r="G61" s="224"/>
      <c r="H61" s="187"/>
      <c r="I61" s="188"/>
      <c r="J61" s="189"/>
      <c r="K61" s="190"/>
      <c r="L61" s="187"/>
      <c r="M61" s="187"/>
      <c r="N61" s="191"/>
      <c r="O61" s="191"/>
      <c r="P61" s="192"/>
      <c r="Q61" s="193"/>
      <c r="R61" s="191"/>
      <c r="S61" s="190"/>
      <c r="T61" s="190"/>
      <c r="U61" s="187"/>
      <c r="V61" s="190"/>
      <c r="W61" s="187"/>
      <c r="X61" s="184"/>
      <c r="Y61" s="194"/>
      <c r="Z61" s="184"/>
      <c r="AA61" s="184"/>
      <c r="AB61" s="184"/>
      <c r="AC61" s="184"/>
      <c r="AD61" s="184"/>
      <c r="AE61" s="184"/>
      <c r="AF61" s="106"/>
      <c r="AG61" s="106"/>
      <c r="AH61" s="106"/>
      <c r="AI61" s="356"/>
      <c r="AJ61" s="354"/>
    </row>
    <row r="62" spans="1:36" ht="24.95" customHeight="1" x14ac:dyDescent="0.3">
      <c r="D62" s="417" t="s">
        <v>176</v>
      </c>
      <c r="E62" s="417"/>
      <c r="F62" s="417"/>
      <c r="G62" s="195"/>
      <c r="H62" s="195"/>
      <c r="I62" s="188"/>
      <c r="J62" s="188"/>
      <c r="K62" s="188"/>
      <c r="L62" s="188"/>
      <c r="M62" s="188"/>
      <c r="N62" s="188"/>
      <c r="O62" s="188"/>
      <c r="P62" s="196"/>
      <c r="Q62" s="197"/>
      <c r="R62" s="188"/>
      <c r="S62" s="188"/>
      <c r="T62" s="198"/>
      <c r="U62" s="198"/>
      <c r="V62" s="188"/>
      <c r="W62" s="188"/>
      <c r="X62" s="184"/>
      <c r="Y62" s="184"/>
      <c r="Z62" s="184"/>
      <c r="AA62" s="184"/>
      <c r="AB62" s="184"/>
      <c r="AC62" s="184"/>
      <c r="AD62" s="184"/>
      <c r="AE62" s="184"/>
      <c r="AF62" s="184"/>
      <c r="AG62" s="184"/>
      <c r="AH62" s="184"/>
      <c r="AI62" s="184"/>
    </row>
    <row r="63" spans="1:36" s="174" customFormat="1" ht="24.95" customHeight="1" x14ac:dyDescent="0.3">
      <c r="C63" s="199">
        <v>1</v>
      </c>
      <c r="D63" s="200" t="s">
        <v>240</v>
      </c>
      <c r="F63" s="202"/>
      <c r="G63" s="201"/>
      <c r="H63" s="201"/>
      <c r="I63" s="201"/>
      <c r="J63" s="201"/>
      <c r="K63" s="201"/>
      <c r="L63" s="201"/>
      <c r="M63" s="201"/>
      <c r="N63" s="201"/>
      <c r="O63" s="201"/>
      <c r="P63" s="203"/>
      <c r="Q63" s="204"/>
      <c r="R63" s="201"/>
      <c r="S63" s="201"/>
      <c r="T63" s="201"/>
      <c r="U63" s="201"/>
      <c r="V63" s="201"/>
      <c r="W63" s="201"/>
      <c r="X63" s="201"/>
      <c r="Y63" s="201"/>
      <c r="Z63" s="201"/>
      <c r="AA63" s="201"/>
      <c r="AB63" s="201"/>
      <c r="AC63" s="201"/>
      <c r="AD63" s="201"/>
      <c r="AE63" s="201"/>
      <c r="AF63" s="201"/>
      <c r="AG63" s="201"/>
      <c r="AH63" s="201"/>
      <c r="AI63" s="201"/>
    </row>
    <row r="64" spans="1:36" ht="24.95" customHeight="1" x14ac:dyDescent="0.3">
      <c r="C64" s="199">
        <v>2</v>
      </c>
      <c r="D64" s="200" t="s">
        <v>241</v>
      </c>
      <c r="F64" s="202"/>
      <c r="G64" s="201"/>
      <c r="H64" s="201"/>
      <c r="I64" s="201"/>
      <c r="J64" s="201"/>
      <c r="K64" s="201"/>
      <c r="L64" s="201"/>
      <c r="M64" s="201"/>
      <c r="N64" s="201"/>
      <c r="O64" s="201"/>
      <c r="P64" s="203"/>
      <c r="Q64" s="204"/>
      <c r="R64" s="201"/>
      <c r="S64" s="201"/>
      <c r="T64" s="201"/>
      <c r="U64" s="201"/>
      <c r="V64" s="201"/>
      <c r="W64" s="201"/>
      <c r="X64" s="201"/>
      <c r="Y64" s="201"/>
      <c r="Z64" s="201"/>
      <c r="AA64" s="201"/>
      <c r="AB64" s="201"/>
      <c r="AC64" s="201"/>
      <c r="AD64" s="201"/>
      <c r="AE64" s="201"/>
      <c r="AF64" s="201"/>
      <c r="AG64" s="201"/>
      <c r="AH64" s="201"/>
      <c r="AI64" s="201"/>
    </row>
    <row r="65" spans="3:35" ht="24.95" customHeight="1" x14ac:dyDescent="0.3">
      <c r="C65" s="199">
        <v>3</v>
      </c>
      <c r="D65" s="200" t="s">
        <v>242</v>
      </c>
      <c r="F65" s="202"/>
      <c r="G65" s="205"/>
      <c r="H65" s="205"/>
      <c r="I65" s="205"/>
      <c r="J65" s="205"/>
      <c r="K65" s="205"/>
      <c r="L65" s="205"/>
      <c r="M65" s="205"/>
      <c r="N65" s="205"/>
      <c r="O65" s="205"/>
      <c r="P65" s="206"/>
      <c r="Q65" s="207"/>
      <c r="R65" s="205"/>
      <c r="S65" s="205"/>
      <c r="T65" s="205"/>
      <c r="U65" s="205"/>
      <c r="V65" s="205"/>
      <c r="W65" s="205"/>
      <c r="X65" s="205"/>
      <c r="Y65" s="205"/>
      <c r="Z65" s="205"/>
      <c r="AA65" s="205"/>
      <c r="AB65" s="205"/>
      <c r="AC65" s="205"/>
      <c r="AD65" s="205"/>
      <c r="AE65" s="205"/>
      <c r="AF65" s="205"/>
      <c r="AG65" s="205"/>
      <c r="AH65" s="205"/>
      <c r="AI65" s="201"/>
    </row>
    <row r="66" spans="3:35" ht="24.95" customHeight="1" x14ac:dyDescent="0.3">
      <c r="C66" s="199">
        <v>4</v>
      </c>
      <c r="D66" s="208" t="s">
        <v>192</v>
      </c>
      <c r="F66" s="202"/>
      <c r="G66" s="205"/>
      <c r="H66" s="205"/>
      <c r="I66" s="205"/>
      <c r="J66" s="205"/>
      <c r="K66" s="205"/>
      <c r="L66" s="205"/>
      <c r="M66" s="205"/>
      <c r="N66" s="205"/>
      <c r="O66" s="205"/>
      <c r="P66" s="206"/>
      <c r="Q66" s="207"/>
      <c r="R66" s="205"/>
      <c r="S66" s="205"/>
      <c r="T66" s="205"/>
      <c r="U66" s="205"/>
      <c r="V66" s="205"/>
      <c r="W66" s="205"/>
      <c r="X66" s="205"/>
      <c r="Y66" s="205"/>
      <c r="Z66" s="205"/>
      <c r="AA66" s="205"/>
      <c r="AB66" s="205"/>
      <c r="AC66" s="205"/>
      <c r="AD66" s="205"/>
      <c r="AE66" s="205"/>
      <c r="AF66" s="205"/>
      <c r="AG66" s="205"/>
      <c r="AH66" s="205"/>
      <c r="AI66" s="201"/>
    </row>
    <row r="67" spans="3:35" ht="24.95" customHeight="1" x14ac:dyDescent="0.3">
      <c r="C67" s="199">
        <v>5</v>
      </c>
      <c r="D67" s="201" t="s">
        <v>243</v>
      </c>
      <c r="F67" s="202"/>
      <c r="G67" s="205"/>
      <c r="H67" s="205"/>
      <c r="I67" s="205"/>
      <c r="J67" s="205"/>
      <c r="K67" s="205"/>
      <c r="L67" s="205"/>
      <c r="M67" s="205"/>
      <c r="N67" s="205"/>
      <c r="O67" s="205"/>
      <c r="P67" s="206"/>
      <c r="Q67" s="207"/>
      <c r="R67" s="205"/>
      <c r="S67" s="205"/>
      <c r="T67" s="205"/>
      <c r="U67" s="205"/>
      <c r="V67" s="205"/>
      <c r="W67" s="205"/>
      <c r="X67" s="205"/>
      <c r="Y67" s="205"/>
      <c r="Z67" s="205"/>
      <c r="AA67" s="205"/>
      <c r="AB67" s="205"/>
      <c r="AC67" s="205"/>
      <c r="AD67" s="205"/>
      <c r="AE67" s="205"/>
      <c r="AF67" s="205"/>
      <c r="AG67" s="205"/>
      <c r="AH67" s="205"/>
      <c r="AI67" s="201"/>
    </row>
    <row r="68" spans="3:35" ht="24.95" customHeight="1" x14ac:dyDescent="0.3">
      <c r="C68" s="199">
        <v>6</v>
      </c>
      <c r="D68" s="201" t="s">
        <v>244</v>
      </c>
      <c r="F68" s="202"/>
      <c r="G68" s="205"/>
      <c r="H68" s="205"/>
      <c r="I68" s="205"/>
      <c r="J68" s="205"/>
      <c r="K68" s="205"/>
      <c r="L68" s="205"/>
      <c r="M68" s="205"/>
      <c r="N68" s="205"/>
      <c r="O68" s="205"/>
      <c r="P68" s="206"/>
      <c r="Q68" s="207"/>
      <c r="R68" s="205"/>
      <c r="S68" s="205"/>
      <c r="T68" s="205"/>
      <c r="U68" s="205"/>
      <c r="V68" s="205"/>
      <c r="W68" s="205"/>
      <c r="X68" s="205"/>
      <c r="Y68" s="205"/>
      <c r="Z68" s="205"/>
      <c r="AA68" s="205"/>
      <c r="AB68" s="205"/>
      <c r="AC68" s="205"/>
      <c r="AD68" s="205"/>
      <c r="AE68" s="205"/>
      <c r="AF68" s="205"/>
      <c r="AG68" s="205"/>
      <c r="AH68" s="205"/>
      <c r="AI68" s="201"/>
    </row>
    <row r="69" spans="3:35" ht="24.95" customHeight="1" x14ac:dyDescent="0.3">
      <c r="C69" s="199">
        <v>7</v>
      </c>
      <c r="D69" s="200" t="s">
        <v>245</v>
      </c>
      <c r="F69" s="202"/>
      <c r="G69" s="205"/>
      <c r="H69" s="205"/>
      <c r="I69" s="205"/>
      <c r="J69" s="205"/>
      <c r="K69" s="205"/>
      <c r="L69" s="205"/>
      <c r="M69" s="205"/>
      <c r="N69" s="205"/>
      <c r="O69" s="205"/>
      <c r="P69" s="206"/>
      <c r="Q69" s="207"/>
      <c r="R69" s="205"/>
      <c r="S69" s="205"/>
      <c r="T69" s="205"/>
      <c r="U69" s="205"/>
      <c r="V69" s="205"/>
      <c r="W69" s="205"/>
      <c r="X69" s="205"/>
      <c r="Y69" s="205"/>
      <c r="Z69" s="205"/>
      <c r="AA69" s="205"/>
      <c r="AB69" s="205"/>
      <c r="AC69" s="205"/>
      <c r="AD69" s="205"/>
      <c r="AE69" s="205"/>
      <c r="AF69" s="205"/>
      <c r="AG69" s="205"/>
      <c r="AH69" s="205"/>
      <c r="AI69" s="201"/>
    </row>
    <row r="70" spans="3:35" ht="24.95" customHeight="1" x14ac:dyDescent="0.3">
      <c r="C70" s="199"/>
      <c r="D70" s="199"/>
      <c r="E70" s="200"/>
      <c r="F70" s="202"/>
      <c r="G70" s="205"/>
      <c r="H70" s="205"/>
      <c r="I70" s="205"/>
      <c r="J70" s="205"/>
      <c r="K70" s="205"/>
      <c r="L70" s="205"/>
      <c r="M70" s="205"/>
      <c r="N70" s="205"/>
      <c r="O70" s="205"/>
      <c r="P70" s="206"/>
      <c r="Q70" s="207"/>
      <c r="R70" s="205"/>
      <c r="S70" s="205"/>
      <c r="T70" s="205"/>
      <c r="U70" s="205"/>
      <c r="V70" s="205"/>
      <c r="W70" s="205"/>
      <c r="X70" s="205"/>
      <c r="Y70" s="205"/>
      <c r="Z70" s="205"/>
      <c r="AA70" s="205"/>
      <c r="AB70" s="205"/>
      <c r="AC70" s="205"/>
      <c r="AD70" s="205"/>
      <c r="AE70" s="205"/>
      <c r="AF70" s="205"/>
      <c r="AG70" s="205"/>
      <c r="AH70" s="205"/>
      <c r="AI70" s="201"/>
    </row>
    <row r="71" spans="3:35" ht="24.95" customHeight="1" x14ac:dyDescent="0.3">
      <c r="C71" s="147" t="s">
        <v>135</v>
      </c>
      <c r="D71" s="146" t="s">
        <v>179</v>
      </c>
      <c r="E71" s="200"/>
      <c r="F71" s="202"/>
      <c r="G71" s="205"/>
      <c r="H71" s="205"/>
      <c r="I71" s="205"/>
      <c r="J71" s="205"/>
      <c r="K71" s="205"/>
      <c r="L71" s="205"/>
      <c r="M71" s="205"/>
      <c r="N71" s="205"/>
      <c r="O71" s="205"/>
      <c r="P71" s="206"/>
      <c r="Q71" s="207"/>
      <c r="R71" s="205"/>
      <c r="S71" s="205"/>
      <c r="T71" s="205"/>
      <c r="U71" s="205"/>
      <c r="V71" s="205"/>
      <c r="W71" s="205"/>
      <c r="X71" s="205"/>
      <c r="Y71" s="205"/>
      <c r="Z71" s="205"/>
      <c r="AA71" s="205"/>
      <c r="AB71" s="205"/>
      <c r="AC71" s="205"/>
      <c r="AD71" s="205"/>
      <c r="AE71" s="205"/>
      <c r="AF71" s="205"/>
      <c r="AG71" s="205"/>
      <c r="AH71" s="205"/>
      <c r="AI71" s="201"/>
    </row>
    <row r="72" spans="3:35" ht="24.95" customHeight="1" x14ac:dyDescent="0.3">
      <c r="C72" s="147" t="s">
        <v>143</v>
      </c>
      <c r="D72" s="146" t="s">
        <v>180</v>
      </c>
      <c r="E72" s="200"/>
      <c r="F72" s="202"/>
      <c r="G72" s="205"/>
      <c r="H72" s="205"/>
      <c r="I72" s="205"/>
      <c r="J72" s="205"/>
      <c r="K72" s="205"/>
      <c r="L72" s="205"/>
      <c r="M72" s="205"/>
      <c r="N72" s="205"/>
      <c r="O72" s="205"/>
      <c r="P72" s="206"/>
      <c r="Q72" s="207"/>
      <c r="R72" s="205"/>
      <c r="S72" s="205"/>
      <c r="T72" s="205"/>
      <c r="U72" s="205"/>
      <c r="V72" s="205"/>
      <c r="W72" s="205"/>
      <c r="X72" s="205"/>
      <c r="Y72" s="205"/>
      <c r="Z72" s="205"/>
      <c r="AA72" s="205"/>
      <c r="AB72" s="205"/>
      <c r="AC72" s="205"/>
      <c r="AD72" s="205"/>
      <c r="AE72" s="205"/>
      <c r="AF72" s="205"/>
      <c r="AG72" s="205"/>
      <c r="AH72" s="205"/>
      <c r="AI72" s="201"/>
    </row>
    <row r="73" spans="3:35" ht="24.95" customHeight="1" x14ac:dyDescent="0.3">
      <c r="C73" s="147" t="s">
        <v>181</v>
      </c>
      <c r="D73" s="146" t="s">
        <v>182</v>
      </c>
      <c r="E73" s="200"/>
      <c r="F73" s="202"/>
      <c r="G73" s="205"/>
      <c r="H73" s="205"/>
      <c r="I73" s="205"/>
      <c r="J73" s="205"/>
      <c r="K73" s="205"/>
      <c r="L73" s="205"/>
      <c r="M73" s="205"/>
      <c r="N73" s="205"/>
      <c r="O73" s="205"/>
      <c r="P73" s="206"/>
      <c r="Q73" s="207"/>
      <c r="R73" s="205"/>
      <c r="S73" s="205"/>
      <c r="T73" s="205"/>
      <c r="U73" s="205"/>
      <c r="V73" s="205"/>
      <c r="W73" s="205"/>
      <c r="X73" s="205"/>
      <c r="Y73" s="205"/>
      <c r="Z73" s="205"/>
      <c r="AA73" s="205"/>
      <c r="AB73" s="205"/>
      <c r="AC73" s="205"/>
      <c r="AD73" s="205"/>
      <c r="AE73" s="205"/>
      <c r="AF73" s="205"/>
      <c r="AG73" s="205"/>
      <c r="AH73" s="205"/>
      <c r="AI73" s="201"/>
    </row>
    <row r="74" spans="3:35" ht="24.95" customHeight="1" x14ac:dyDescent="0.3">
      <c r="C74" s="147" t="s">
        <v>169</v>
      </c>
      <c r="D74" s="146" t="s">
        <v>183</v>
      </c>
      <c r="E74" s="200"/>
      <c r="F74" s="202"/>
      <c r="G74" s="205"/>
      <c r="H74" s="205"/>
      <c r="I74" s="205"/>
      <c r="J74" s="205"/>
      <c r="K74" s="205"/>
      <c r="L74" s="205"/>
      <c r="M74" s="205"/>
      <c r="N74" s="205"/>
      <c r="O74" s="205"/>
      <c r="P74" s="206"/>
      <c r="Q74" s="207"/>
      <c r="R74" s="205"/>
      <c r="S74" s="205"/>
      <c r="T74" s="205"/>
      <c r="U74" s="205"/>
      <c r="V74" s="205"/>
      <c r="W74" s="205"/>
      <c r="X74" s="205"/>
      <c r="Y74" s="205"/>
      <c r="Z74" s="205"/>
      <c r="AA74" s="205"/>
      <c r="AB74" s="205"/>
      <c r="AC74" s="205"/>
      <c r="AD74" s="205"/>
      <c r="AE74" s="205"/>
      <c r="AF74" s="205"/>
      <c r="AG74" s="205"/>
      <c r="AH74" s="205"/>
      <c r="AI74" s="201"/>
    </row>
    <row r="75" spans="3:35" ht="24.95" customHeight="1" x14ac:dyDescent="0.3">
      <c r="C75" s="147" t="s">
        <v>147</v>
      </c>
      <c r="D75" s="146" t="s">
        <v>184</v>
      </c>
      <c r="E75" s="200"/>
      <c r="F75" s="202"/>
      <c r="G75" s="205"/>
      <c r="H75" s="205"/>
      <c r="I75" s="205"/>
      <c r="J75" s="205"/>
      <c r="K75" s="205"/>
      <c r="L75" s="205"/>
      <c r="M75" s="205"/>
      <c r="N75" s="205"/>
      <c r="O75" s="205"/>
      <c r="P75" s="206"/>
      <c r="Q75" s="207"/>
      <c r="R75" s="205"/>
      <c r="S75" s="205"/>
      <c r="T75" s="205"/>
      <c r="U75" s="205"/>
      <c r="V75" s="205"/>
      <c r="W75" s="205"/>
      <c r="X75" s="205"/>
      <c r="Y75" s="205"/>
      <c r="Z75" s="205"/>
      <c r="AA75" s="205"/>
      <c r="AB75" s="205"/>
      <c r="AC75" s="205"/>
      <c r="AD75" s="205"/>
      <c r="AE75" s="205"/>
      <c r="AF75" s="205"/>
      <c r="AG75" s="205"/>
      <c r="AH75" s="205"/>
      <c r="AI75" s="201"/>
    </row>
    <row r="76" spans="3:35" ht="24.95" customHeight="1" x14ac:dyDescent="0.3">
      <c r="C76" s="147" t="s">
        <v>126</v>
      </c>
      <c r="D76" s="146" t="s">
        <v>185</v>
      </c>
      <c r="E76" s="200"/>
      <c r="F76" s="202"/>
      <c r="G76" s="205"/>
      <c r="H76" s="205"/>
      <c r="I76" s="205"/>
      <c r="J76" s="205"/>
      <c r="K76" s="205"/>
      <c r="L76" s="205"/>
      <c r="M76" s="205"/>
      <c r="N76" s="205"/>
      <c r="O76" s="205"/>
      <c r="P76" s="206"/>
      <c r="Q76" s="207"/>
      <c r="R76" s="205"/>
      <c r="S76" s="205"/>
      <c r="T76" s="205"/>
      <c r="U76" s="205"/>
      <c r="V76" s="205"/>
      <c r="W76" s="205"/>
      <c r="X76" s="205"/>
      <c r="Y76" s="205"/>
      <c r="Z76" s="205"/>
      <c r="AA76" s="205"/>
      <c r="AB76" s="205"/>
      <c r="AC76" s="205"/>
      <c r="AD76" s="205"/>
      <c r="AE76" s="205"/>
      <c r="AF76" s="205"/>
      <c r="AG76" s="205"/>
      <c r="AH76" s="205"/>
      <c r="AI76" s="201"/>
    </row>
    <row r="77" spans="3:35" ht="34.5" customHeight="1" x14ac:dyDescent="0.3">
      <c r="C77" s="332" t="s">
        <v>171</v>
      </c>
      <c r="D77" s="333" t="s">
        <v>186</v>
      </c>
      <c r="E77" s="200"/>
      <c r="F77" s="202"/>
      <c r="G77" s="205"/>
      <c r="H77" s="205"/>
      <c r="I77" s="205"/>
      <c r="J77" s="205"/>
      <c r="K77" s="205"/>
      <c r="L77" s="205"/>
      <c r="M77" s="205"/>
      <c r="N77" s="205"/>
      <c r="O77" s="205"/>
      <c r="P77" s="206"/>
      <c r="Q77" s="207"/>
      <c r="R77" s="205"/>
      <c r="S77" s="205"/>
      <c r="T77" s="205"/>
      <c r="U77" s="205"/>
      <c r="V77" s="205"/>
      <c r="W77" s="205"/>
      <c r="X77" s="205"/>
      <c r="Y77" s="205"/>
      <c r="Z77" s="205"/>
      <c r="AA77" s="205"/>
      <c r="AB77" s="205"/>
      <c r="AC77" s="205"/>
      <c r="AD77" s="205"/>
      <c r="AE77" s="205"/>
      <c r="AF77" s="205"/>
      <c r="AG77" s="205"/>
      <c r="AH77" s="205"/>
      <c r="AI77" s="201"/>
    </row>
    <row r="78" spans="3:35" ht="22.5" x14ac:dyDescent="0.3">
      <c r="C78" s="147" t="s">
        <v>187</v>
      </c>
      <c r="D78" s="146" t="s">
        <v>188</v>
      </c>
      <c r="E78" s="200"/>
      <c r="F78" s="202"/>
      <c r="G78" s="205"/>
      <c r="H78" s="205"/>
      <c r="I78" s="205"/>
      <c r="J78" s="205"/>
      <c r="K78" s="205"/>
      <c r="L78" s="205"/>
      <c r="M78" s="205"/>
      <c r="N78" s="205"/>
      <c r="O78" s="205"/>
      <c r="P78" s="206"/>
      <c r="Q78" s="207"/>
      <c r="R78" s="205"/>
      <c r="S78" s="205"/>
      <c r="T78" s="205"/>
      <c r="U78" s="205"/>
      <c r="V78" s="205"/>
      <c r="W78" s="205"/>
      <c r="X78" s="205"/>
      <c r="Y78" s="205"/>
      <c r="Z78" s="205"/>
      <c r="AA78" s="205"/>
      <c r="AB78" s="205"/>
      <c r="AC78" s="205"/>
      <c r="AD78" s="205"/>
      <c r="AE78" s="205"/>
      <c r="AF78" s="205"/>
      <c r="AG78" s="205"/>
      <c r="AH78" s="205"/>
      <c r="AI78" s="201"/>
    </row>
    <row r="79" spans="3:35" ht="24.95" customHeight="1" x14ac:dyDescent="0.3">
      <c r="C79" s="147"/>
      <c r="D79" s="146"/>
      <c r="E79" s="200"/>
      <c r="F79" s="202"/>
      <c r="G79" s="205"/>
      <c r="H79" s="205"/>
      <c r="I79" s="205"/>
      <c r="J79" s="205"/>
      <c r="K79" s="205"/>
      <c r="L79" s="205"/>
      <c r="M79" s="205"/>
      <c r="N79" s="205"/>
      <c r="O79" s="205"/>
      <c r="P79" s="206"/>
      <c r="Q79" s="207"/>
      <c r="R79" s="205"/>
      <c r="S79" s="205"/>
      <c r="T79" s="205"/>
      <c r="U79" s="205"/>
      <c r="V79" s="205"/>
      <c r="W79" s="205"/>
      <c r="X79" s="205"/>
      <c r="Y79" s="205"/>
      <c r="Z79" s="205"/>
      <c r="AA79" s="205"/>
      <c r="AB79" s="205"/>
      <c r="AC79" s="205"/>
      <c r="AD79" s="205"/>
      <c r="AE79" s="205"/>
      <c r="AF79" s="205"/>
      <c r="AG79" s="205"/>
      <c r="AH79" s="205"/>
      <c r="AI79" s="201"/>
    </row>
    <row r="80" spans="3:35" ht="24.95" customHeight="1" x14ac:dyDescent="0.3">
      <c r="C80" s="209" t="s">
        <v>120</v>
      </c>
      <c r="D80" s="210" t="s">
        <v>191</v>
      </c>
      <c r="F80" s="202"/>
      <c r="G80" s="205"/>
      <c r="H80" s="205"/>
      <c r="I80" s="205"/>
      <c r="J80" s="205"/>
      <c r="K80" s="205"/>
      <c r="L80" s="205"/>
      <c r="M80" s="205"/>
      <c r="N80" s="205"/>
      <c r="O80" s="205"/>
      <c r="P80" s="206"/>
      <c r="Q80" s="207"/>
      <c r="R80" s="205"/>
      <c r="S80" s="205"/>
      <c r="T80" s="205"/>
      <c r="U80" s="205"/>
      <c r="V80" s="205"/>
      <c r="W80" s="205"/>
      <c r="X80" s="205"/>
      <c r="Y80" s="205"/>
      <c r="Z80" s="205"/>
      <c r="AA80" s="205"/>
      <c r="AB80" s="205"/>
      <c r="AC80" s="205"/>
      <c r="AD80" s="205"/>
      <c r="AE80" s="205"/>
      <c r="AF80" s="205"/>
      <c r="AG80" s="205"/>
      <c r="AH80" s="205"/>
      <c r="AI80" s="201"/>
    </row>
    <row r="81" spans="1:35" ht="24.95" customHeight="1" x14ac:dyDescent="0.3">
      <c r="C81" s="211" t="s">
        <v>246</v>
      </c>
      <c r="D81" s="200" t="s">
        <v>247</v>
      </c>
      <c r="F81" s="202"/>
      <c r="G81" s="201"/>
      <c r="H81" s="201"/>
      <c r="I81" s="201"/>
      <c r="J81" s="201"/>
      <c r="K81" s="201"/>
      <c r="L81" s="201"/>
      <c r="M81" s="201"/>
      <c r="N81" s="201"/>
      <c r="O81" s="201"/>
      <c r="P81" s="203"/>
      <c r="Q81" s="204"/>
      <c r="R81" s="201"/>
      <c r="S81" s="201"/>
      <c r="T81" s="201"/>
      <c r="U81" s="201"/>
      <c r="V81" s="201"/>
      <c r="W81" s="201"/>
      <c r="X81" s="201"/>
      <c r="Y81" s="201"/>
      <c r="Z81" s="201"/>
      <c r="AA81" s="201"/>
      <c r="AB81" s="201"/>
      <c r="AC81" s="201"/>
      <c r="AD81" s="201"/>
      <c r="AE81" s="201"/>
      <c r="AF81" s="201"/>
      <c r="AG81" s="201"/>
      <c r="AH81" s="201"/>
      <c r="AI81" s="201"/>
    </row>
    <row r="82" spans="1:35" x14ac:dyDescent="0.25">
      <c r="A82" s="173"/>
      <c r="B82" s="173"/>
      <c r="C82" s="176"/>
      <c r="F82" s="162"/>
    </row>
    <row r="83" spans="1:35" x14ac:dyDescent="0.25">
      <c r="A83" s="172"/>
      <c r="B83" s="172"/>
      <c r="C83" s="177"/>
      <c r="D83" s="172"/>
      <c r="E83" s="172"/>
      <c r="F83" s="172"/>
      <c r="G83" s="175"/>
      <c r="H83" s="175"/>
      <c r="I83" s="175"/>
      <c r="J83" s="175"/>
      <c r="K83" s="175"/>
      <c r="L83" s="175"/>
    </row>
    <row r="84" spans="1:35" x14ac:dyDescent="0.25">
      <c r="A84" s="172"/>
      <c r="B84" s="172"/>
      <c r="C84" s="175"/>
      <c r="D84" s="172"/>
      <c r="E84" s="172"/>
      <c r="F84" s="172"/>
      <c r="G84" s="175"/>
      <c r="H84" s="175"/>
      <c r="I84" s="175"/>
      <c r="J84" s="175"/>
      <c r="K84" s="175"/>
      <c r="L84" s="175"/>
    </row>
    <row r="85" spans="1:35" x14ac:dyDescent="0.25">
      <c r="A85" s="172"/>
      <c r="B85" s="172"/>
      <c r="C85" s="175"/>
      <c r="D85" s="172"/>
      <c r="E85" s="172"/>
      <c r="F85" s="175"/>
      <c r="G85" s="175"/>
      <c r="H85" s="175"/>
      <c r="I85" s="175"/>
      <c r="J85" s="175"/>
      <c r="K85" s="175"/>
      <c r="L85" s="175"/>
    </row>
    <row r="86" spans="1:35" x14ac:dyDescent="0.25">
      <c r="A86" s="172"/>
      <c r="B86" s="172"/>
      <c r="C86" s="175"/>
      <c r="D86" s="172"/>
      <c r="E86" s="172"/>
      <c r="F86" s="175"/>
      <c r="G86" s="175"/>
      <c r="H86" s="175"/>
      <c r="I86" s="175"/>
      <c r="J86" s="175"/>
      <c r="K86" s="175"/>
      <c r="L86" s="175"/>
    </row>
    <row r="87" spans="1:35" x14ac:dyDescent="0.25">
      <c r="A87" s="172"/>
      <c r="B87" s="172"/>
      <c r="C87" s="175"/>
      <c r="D87" s="172"/>
      <c r="E87" s="172"/>
      <c r="F87" s="172"/>
      <c r="G87" s="175"/>
      <c r="H87" s="175"/>
      <c r="I87" s="175"/>
      <c r="J87" s="175"/>
      <c r="K87" s="175"/>
      <c r="L87" s="175"/>
    </row>
    <row r="88" spans="1:35" x14ac:dyDescent="0.25">
      <c r="A88" s="172"/>
      <c r="B88" s="172"/>
      <c r="C88" s="175"/>
      <c r="D88" s="172"/>
      <c r="E88" s="172"/>
      <c r="F88" s="172"/>
      <c r="G88" s="175"/>
      <c r="H88" s="175"/>
      <c r="I88" s="175"/>
      <c r="J88" s="175"/>
      <c r="K88" s="175"/>
      <c r="L88" s="175"/>
    </row>
    <row r="89" spans="1:35" x14ac:dyDescent="0.25">
      <c r="A89" s="172"/>
      <c r="B89" s="172"/>
      <c r="C89" s="175"/>
      <c r="D89" s="172"/>
      <c r="E89" s="172"/>
      <c r="F89" s="172"/>
      <c r="G89" s="175"/>
      <c r="H89" s="175"/>
      <c r="I89" s="175"/>
      <c r="J89" s="175"/>
      <c r="K89" s="175"/>
      <c r="L89" s="175"/>
    </row>
    <row r="90" spans="1:35" x14ac:dyDescent="0.25">
      <c r="A90" s="175"/>
      <c r="B90" s="175"/>
      <c r="C90" s="175"/>
      <c r="D90" s="172"/>
      <c r="E90" s="172"/>
      <c r="F90" s="172"/>
      <c r="G90" s="175"/>
      <c r="H90" s="175"/>
      <c r="I90" s="175"/>
      <c r="J90" s="175"/>
      <c r="K90" s="175"/>
      <c r="L90" s="175"/>
    </row>
    <row r="91" spans="1:35" x14ac:dyDescent="0.25">
      <c r="A91" s="175"/>
      <c r="B91" s="175"/>
      <c r="C91" s="175"/>
      <c r="D91" s="175"/>
      <c r="E91" s="175"/>
      <c r="F91" s="175"/>
      <c r="G91" s="175"/>
      <c r="H91" s="175"/>
      <c r="I91" s="175"/>
      <c r="J91" s="175"/>
      <c r="K91" s="175"/>
      <c r="L91" s="175"/>
    </row>
    <row r="92" spans="1:35" x14ac:dyDescent="0.25">
      <c r="A92" s="175"/>
      <c r="B92" s="175"/>
      <c r="C92" s="175"/>
      <c r="D92" s="175"/>
      <c r="E92" s="175"/>
      <c r="F92" s="175"/>
      <c r="G92" s="175"/>
      <c r="H92" s="175"/>
      <c r="I92" s="175"/>
      <c r="J92" s="175"/>
      <c r="K92" s="175"/>
      <c r="L92" s="175"/>
    </row>
    <row r="93" spans="1:35" x14ac:dyDescent="0.25">
      <c r="A93" s="175"/>
      <c r="B93" s="175"/>
      <c r="C93" s="175"/>
      <c r="D93" s="175"/>
      <c r="E93" s="175"/>
      <c r="F93" s="175"/>
      <c r="G93" s="175"/>
      <c r="H93" s="175"/>
      <c r="I93" s="175"/>
      <c r="J93" s="175"/>
      <c r="K93" s="175"/>
      <c r="L93" s="175"/>
    </row>
    <row r="94" spans="1:35" x14ac:dyDescent="0.25">
      <c r="A94" s="175"/>
      <c r="B94" s="175"/>
      <c r="C94" s="175"/>
      <c r="D94" s="175"/>
      <c r="E94" s="175"/>
      <c r="F94" s="175"/>
      <c r="G94" s="175"/>
      <c r="H94" s="175"/>
      <c r="I94" s="175"/>
      <c r="J94" s="175"/>
      <c r="K94" s="175"/>
      <c r="L94" s="175"/>
    </row>
    <row r="95" spans="1:35" x14ac:dyDescent="0.25">
      <c r="A95" s="175"/>
      <c r="B95" s="175"/>
      <c r="C95" s="175"/>
      <c r="D95" s="175"/>
      <c r="E95" s="175"/>
      <c r="F95" s="175"/>
      <c r="G95" s="175"/>
      <c r="H95" s="175"/>
      <c r="I95" s="175"/>
      <c r="J95" s="175"/>
      <c r="K95" s="175"/>
      <c r="L95" s="175"/>
    </row>
    <row r="96" spans="1:35" x14ac:dyDescent="0.25">
      <c r="A96" s="175"/>
      <c r="B96" s="175"/>
      <c r="C96" s="175"/>
      <c r="D96" s="175"/>
      <c r="E96" s="175"/>
      <c r="F96" s="175"/>
      <c r="G96" s="175"/>
      <c r="H96" s="175"/>
      <c r="I96" s="175"/>
      <c r="J96" s="175"/>
      <c r="K96" s="175"/>
      <c r="L96" s="175"/>
    </row>
    <row r="97" spans="1:12" x14ac:dyDescent="0.25">
      <c r="A97" s="175"/>
      <c r="B97" s="175"/>
      <c r="C97" s="175"/>
      <c r="D97" s="175"/>
      <c r="E97" s="175"/>
      <c r="F97" s="175"/>
      <c r="G97" s="175"/>
      <c r="H97" s="175"/>
      <c r="I97" s="175"/>
      <c r="J97" s="175"/>
      <c r="K97" s="175"/>
      <c r="L97" s="175"/>
    </row>
    <row r="98" spans="1:12" x14ac:dyDescent="0.25">
      <c r="A98" s="175"/>
      <c r="B98" s="175"/>
      <c r="C98" s="175"/>
      <c r="D98" s="175"/>
      <c r="E98" s="175"/>
      <c r="F98" s="175"/>
      <c r="G98" s="175"/>
      <c r="H98" s="175"/>
      <c r="I98" s="175"/>
      <c r="J98" s="175"/>
      <c r="K98" s="175"/>
      <c r="L98" s="175"/>
    </row>
    <row r="99" spans="1:12" x14ac:dyDescent="0.25">
      <c r="A99" s="175"/>
      <c r="B99" s="175"/>
      <c r="C99" s="175"/>
      <c r="D99" s="175"/>
      <c r="E99" s="175"/>
      <c r="F99" s="175"/>
      <c r="G99" s="175"/>
      <c r="H99" s="175"/>
      <c r="I99" s="175"/>
      <c r="J99" s="175"/>
      <c r="K99" s="175"/>
      <c r="L99" s="175"/>
    </row>
    <row r="100" spans="1:12" x14ac:dyDescent="0.25">
      <c r="A100" s="175"/>
      <c r="B100" s="175"/>
      <c r="C100" s="175"/>
      <c r="D100" s="175"/>
      <c r="E100" s="175"/>
      <c r="F100" s="175"/>
      <c r="G100" s="175"/>
      <c r="H100" s="175"/>
      <c r="I100" s="175"/>
      <c r="J100" s="175"/>
      <c r="K100" s="175"/>
      <c r="L100" s="175"/>
    </row>
  </sheetData>
  <sheetProtection selectLockedCells="1" selectUnlockedCells="1"/>
  <autoFilter ref="A6:A7" xr:uid="{C38B1059-57FB-44F8-A581-201391BFC7DC}"/>
  <mergeCells count="3">
    <mergeCell ref="I5:T5"/>
    <mergeCell ref="U5:AI5"/>
    <mergeCell ref="D62:F62"/>
  </mergeCells>
  <conditionalFormatting sqref="P9:P10 P39 P25 P30 P21 P56:P61 P41 P27 P43:P54 P12:P19">
    <cfRule type="cellIs" dxfId="220" priority="101" operator="greaterThanOrEqual">
      <formula>1</formula>
    </cfRule>
  </conditionalFormatting>
  <conditionalFormatting sqref="K61">
    <cfRule type="cellIs" dxfId="219" priority="100" operator="greaterThan">
      <formula>8.49</formula>
    </cfRule>
  </conditionalFormatting>
  <conditionalFormatting sqref="L9 L23:L25 L39 L12:L21 L56:L61 L41 L27:L30 L43:L52 L54">
    <cfRule type="cellIs" dxfId="218" priority="99" operator="greaterThanOrEqual">
      <formula>400</formula>
    </cfRule>
  </conditionalFormatting>
  <conditionalFormatting sqref="M15:M16 M39 M56:M61 M41 M27 M43:M49 M18:M21">
    <cfRule type="cellIs" dxfId="217" priority="98" operator="greaterThanOrEqual">
      <formula>61</formula>
    </cfRule>
  </conditionalFormatting>
  <conditionalFormatting sqref="I27:I30 I39:J43 J45:J47 J49:J61 J9:J21 J23:J30">
    <cfRule type="cellIs" dxfId="216" priority="97" operator="greaterThanOrEqual">
      <formula>20</formula>
    </cfRule>
  </conditionalFormatting>
  <conditionalFormatting sqref="I61">
    <cfRule type="cellIs" dxfId="215" priority="96" operator="lessThan">
      <formula>5.1</formula>
    </cfRule>
  </conditionalFormatting>
  <conditionalFormatting sqref="Q21 Q23:Q25 Q39 Q9:Q10 Q56:Q61 Q41 Q27:Q30 Q43:Q54 Q12:Q19">
    <cfRule type="cellIs" dxfId="214" priority="95" operator="greaterThanOrEqual">
      <formula>0.1</formula>
    </cfRule>
  </conditionalFormatting>
  <conditionalFormatting sqref="S9:S11 S13:S21 S23 S39 S25:S30 S56:S61 S41 S43:S54">
    <cfRule type="cellIs" dxfId="213" priority="94" operator="greaterThanOrEqual">
      <formula>0.3</formula>
    </cfRule>
  </conditionalFormatting>
  <conditionalFormatting sqref="T61">
    <cfRule type="cellIs" dxfId="212" priority="93" operator="greaterThan">
      <formula>0.049</formula>
    </cfRule>
  </conditionalFormatting>
  <conditionalFormatting sqref="V61">
    <cfRule type="cellIs" dxfId="211" priority="92" operator="greaterThan">
      <formula>5</formula>
    </cfRule>
  </conditionalFormatting>
  <conditionalFormatting sqref="W9:W14 W61 W49:W50 W39:W44 W25:W30 W20:W21 W18 W52:W53">
    <cfRule type="cellIs" dxfId="210" priority="91" operator="greaterThanOrEqual">
      <formula>100</formula>
    </cfRule>
  </conditionalFormatting>
  <conditionalFormatting sqref="K9:K13 K23:K30 K39 K56:K57 K15:K21">
    <cfRule type="cellIs" dxfId="209" priority="90" operator="greaterThanOrEqual">
      <formula>8.5</formula>
    </cfRule>
  </conditionalFormatting>
  <conditionalFormatting sqref="T9:T10 T23:T30 T39 T60 T56:T58 T41 T43:T54 T12:T21">
    <cfRule type="cellIs" dxfId="208" priority="89" operator="greaterThanOrEqual">
      <formula>0.05</formula>
    </cfRule>
  </conditionalFormatting>
  <conditionalFormatting sqref="K9:K13 K23:K30 K39 K56:K57 K15:K21">
    <cfRule type="cellIs" dxfId="207" priority="88" operator="lessThanOrEqual">
      <formula>6.5</formula>
    </cfRule>
  </conditionalFormatting>
  <conditionalFormatting sqref="V9 V52 V50 V40:V42 V26:V30 V20:V21 V18 V11:V13">
    <cfRule type="cellIs" dxfId="206" priority="87" operator="greaterThanOrEqual">
      <formula>5</formula>
    </cfRule>
  </conditionalFormatting>
  <conditionalFormatting sqref="X9:X10 X42:X43 X16:X21 X12:X14 X27:X28 X45:X48 X50:X59 X25 X23 X39:X40">
    <cfRule type="cellIs" dxfId="205" priority="86" operator="greaterThanOrEqual">
      <formula>50</formula>
    </cfRule>
  </conditionalFormatting>
  <conditionalFormatting sqref="Y10:Y17 Y56:Y57 Y51 Y45:Y48 Y42 Y27 Y25 Y21 Y53">
    <cfRule type="cellIs" dxfId="204" priority="85" operator="greaterThanOrEqual">
      <formula>16</formula>
    </cfRule>
  </conditionalFormatting>
  <conditionalFormatting sqref="Z39 Z56:Z57">
    <cfRule type="cellIs" dxfId="203" priority="84" operator="greaterThanOrEqual">
      <formula>50</formula>
    </cfRule>
  </conditionalFormatting>
  <conditionalFormatting sqref="I9:I21 I48 I50:I60 I23:I25">
    <cfRule type="cellIs" dxfId="202" priority="83" operator="greaterThanOrEqual">
      <formula>20</formula>
    </cfRule>
  </conditionalFormatting>
  <conditionalFormatting sqref="P22">
    <cfRule type="cellIs" dxfId="201" priority="82" operator="greaterThanOrEqual">
      <formula>1</formula>
    </cfRule>
  </conditionalFormatting>
  <conditionalFormatting sqref="L22">
    <cfRule type="cellIs" dxfId="200" priority="81" operator="greaterThanOrEqual">
      <formula>400</formula>
    </cfRule>
  </conditionalFormatting>
  <conditionalFormatting sqref="M22">
    <cfRule type="cellIs" dxfId="199" priority="80" operator="greaterThanOrEqual">
      <formula>61</formula>
    </cfRule>
  </conditionalFormatting>
  <conditionalFormatting sqref="J22">
    <cfRule type="cellIs" dxfId="198" priority="79" operator="greaterThanOrEqual">
      <formula>20</formula>
    </cfRule>
  </conditionalFormatting>
  <conditionalFormatting sqref="Q22">
    <cfRule type="cellIs" dxfId="197" priority="78" operator="greaterThanOrEqual">
      <formula>0.1</formula>
    </cfRule>
  </conditionalFormatting>
  <conditionalFormatting sqref="S22">
    <cfRule type="cellIs" dxfId="196" priority="77" operator="greaterThanOrEqual">
      <formula>0.3</formula>
    </cfRule>
  </conditionalFormatting>
  <conditionalFormatting sqref="K22">
    <cfRule type="cellIs" dxfId="195" priority="76" operator="greaterThanOrEqual">
      <formula>8.5</formula>
    </cfRule>
  </conditionalFormatting>
  <conditionalFormatting sqref="T22">
    <cfRule type="cellIs" dxfId="194" priority="75" operator="greaterThanOrEqual">
      <formula>0.05</formula>
    </cfRule>
  </conditionalFormatting>
  <conditionalFormatting sqref="K22">
    <cfRule type="cellIs" dxfId="193" priority="74" operator="lessThanOrEqual">
      <formula>6.5</formula>
    </cfRule>
  </conditionalFormatting>
  <conditionalFormatting sqref="X22">
    <cfRule type="cellIs" dxfId="192" priority="73" operator="greaterThanOrEqual">
      <formula>50</formula>
    </cfRule>
  </conditionalFormatting>
  <conditionalFormatting sqref="I22">
    <cfRule type="cellIs" dxfId="191" priority="72" operator="greaterThanOrEqual">
      <formula>20</formula>
    </cfRule>
  </conditionalFormatting>
  <conditionalFormatting sqref="P33 P36:P38">
    <cfRule type="cellIs" dxfId="190" priority="71" operator="greaterThanOrEqual">
      <formula>1</formula>
    </cfRule>
  </conditionalFormatting>
  <conditionalFormatting sqref="L33 L36:L38">
    <cfRule type="cellIs" dxfId="189" priority="70" operator="greaterThanOrEqual">
      <formula>400</formula>
    </cfRule>
  </conditionalFormatting>
  <conditionalFormatting sqref="J36:J38">
    <cfRule type="cellIs" dxfId="188" priority="68" operator="greaterThanOrEqual">
      <formula>20</formula>
    </cfRule>
  </conditionalFormatting>
  <conditionalFormatting sqref="S33 S36:S38">
    <cfRule type="cellIs" dxfId="187" priority="67" operator="greaterThanOrEqual">
      <formula>0.3</formula>
    </cfRule>
  </conditionalFormatting>
  <conditionalFormatting sqref="W33 W36:W38">
    <cfRule type="cellIs" dxfId="186" priority="66" operator="greaterThanOrEqual">
      <formula>100</formula>
    </cfRule>
  </conditionalFormatting>
  <conditionalFormatting sqref="T33 T36:T38">
    <cfRule type="cellIs" dxfId="185" priority="64" operator="greaterThanOrEqual">
      <formula>0.05</formula>
    </cfRule>
  </conditionalFormatting>
  <conditionalFormatting sqref="V33 V36">
    <cfRule type="cellIs" dxfId="184" priority="62" operator="greaterThanOrEqual">
      <formula>5</formula>
    </cfRule>
  </conditionalFormatting>
  <conditionalFormatting sqref="X33 X36:X38">
    <cfRule type="cellIs" dxfId="183" priority="61" operator="greaterThanOrEqual">
      <formula>50</formula>
    </cfRule>
  </conditionalFormatting>
  <conditionalFormatting sqref="Y36:Y38">
    <cfRule type="cellIs" dxfId="182" priority="60" operator="greaterThanOrEqual">
      <formula>16</formula>
    </cfRule>
  </conditionalFormatting>
  <conditionalFormatting sqref="I33 I36:I38">
    <cfRule type="cellIs" dxfId="181" priority="58" operator="greaterThanOrEqual">
      <formula>20</formula>
    </cfRule>
  </conditionalFormatting>
  <conditionalFormatting sqref="O32">
    <cfRule type="cellIs" dxfId="180" priority="57" operator="greaterThanOrEqual">
      <formula>1</formula>
    </cfRule>
  </conditionalFormatting>
  <conditionalFormatting sqref="K32">
    <cfRule type="cellIs" dxfId="179" priority="56" operator="greaterThanOrEqual">
      <formula>400</formula>
    </cfRule>
  </conditionalFormatting>
  <conditionalFormatting sqref="L32">
    <cfRule type="cellIs" dxfId="178" priority="55" operator="greaterThanOrEqual">
      <formula>61</formula>
    </cfRule>
  </conditionalFormatting>
  <conditionalFormatting sqref="I32">
    <cfRule type="cellIs" dxfId="177" priority="54" operator="greaterThanOrEqual">
      <formula>20</formula>
    </cfRule>
  </conditionalFormatting>
  <conditionalFormatting sqref="P32">
    <cfRule type="cellIs" dxfId="176" priority="53" operator="greaterThanOrEqual">
      <formula>0.1</formula>
    </cfRule>
  </conditionalFormatting>
  <conditionalFormatting sqref="R32">
    <cfRule type="cellIs" dxfId="175" priority="52" operator="greaterThanOrEqual">
      <formula>0.3</formula>
    </cfRule>
  </conditionalFormatting>
  <conditionalFormatting sqref="J32">
    <cfRule type="cellIs" dxfId="174" priority="51" operator="greaterThanOrEqual">
      <formula>8.5</formula>
    </cfRule>
  </conditionalFormatting>
  <conditionalFormatting sqref="S32">
    <cfRule type="cellIs" dxfId="173" priority="50" operator="greaterThanOrEqual">
      <formula>0.05</formula>
    </cfRule>
  </conditionalFormatting>
  <conditionalFormatting sqref="J32">
    <cfRule type="cellIs" dxfId="172" priority="49" operator="lessThanOrEqual">
      <formula>6.5</formula>
    </cfRule>
  </conditionalFormatting>
  <conditionalFormatting sqref="W32">
    <cfRule type="cellIs" dxfId="171" priority="48" operator="greaterThanOrEqual">
      <formula>50</formula>
    </cfRule>
  </conditionalFormatting>
  <conditionalFormatting sqref="H32">
    <cfRule type="cellIs" dxfId="170" priority="47" operator="greaterThanOrEqual">
      <formula>20</formula>
    </cfRule>
  </conditionalFormatting>
  <conditionalFormatting sqref="O31">
    <cfRule type="cellIs" dxfId="169" priority="46" operator="greaterThanOrEqual">
      <formula>1</formula>
    </cfRule>
  </conditionalFormatting>
  <conditionalFormatting sqref="K31">
    <cfRule type="cellIs" dxfId="168" priority="45" operator="greaterThanOrEqual">
      <formula>400</formula>
    </cfRule>
  </conditionalFormatting>
  <conditionalFormatting sqref="L31">
    <cfRule type="cellIs" dxfId="167" priority="44" operator="greaterThanOrEqual">
      <formula>61</formula>
    </cfRule>
  </conditionalFormatting>
  <conditionalFormatting sqref="I31">
    <cfRule type="cellIs" dxfId="166" priority="43" operator="greaterThanOrEqual">
      <formula>20</formula>
    </cfRule>
  </conditionalFormatting>
  <conditionalFormatting sqref="P31">
    <cfRule type="cellIs" dxfId="165" priority="42" operator="greaterThanOrEqual">
      <formula>0.1</formula>
    </cfRule>
  </conditionalFormatting>
  <conditionalFormatting sqref="R31">
    <cfRule type="cellIs" dxfId="164" priority="41" operator="greaterThanOrEqual">
      <formula>0.3</formula>
    </cfRule>
  </conditionalFormatting>
  <conditionalFormatting sqref="J31">
    <cfRule type="cellIs" dxfId="163" priority="40" operator="greaterThanOrEqual">
      <formula>8.5</formula>
    </cfRule>
  </conditionalFormatting>
  <conditionalFormatting sqref="S31">
    <cfRule type="cellIs" dxfId="162" priority="39" operator="greaterThanOrEqual">
      <formula>0.05</formula>
    </cfRule>
  </conditionalFormatting>
  <conditionalFormatting sqref="J31">
    <cfRule type="cellIs" dxfId="161" priority="38" operator="lessThanOrEqual">
      <formula>6.5</formula>
    </cfRule>
  </conditionalFormatting>
  <conditionalFormatting sqref="W31">
    <cfRule type="cellIs" dxfId="160" priority="37" operator="greaterThanOrEqual">
      <formula>50</formula>
    </cfRule>
  </conditionalFormatting>
  <conditionalFormatting sqref="H31">
    <cfRule type="cellIs" dxfId="159" priority="36" operator="greaterThanOrEqual">
      <formula>20</formula>
    </cfRule>
  </conditionalFormatting>
  <conditionalFormatting sqref="O35">
    <cfRule type="cellIs" dxfId="158" priority="35" operator="greaterThanOrEqual">
      <formula>1</formula>
    </cfRule>
  </conditionalFormatting>
  <conditionalFormatting sqref="K35">
    <cfRule type="cellIs" dxfId="157" priority="34" operator="greaterThanOrEqual">
      <formula>400</formula>
    </cfRule>
  </conditionalFormatting>
  <conditionalFormatting sqref="L35">
    <cfRule type="cellIs" dxfId="156" priority="33" operator="greaterThanOrEqual">
      <formula>61</formula>
    </cfRule>
  </conditionalFormatting>
  <conditionalFormatting sqref="I35">
    <cfRule type="cellIs" dxfId="155" priority="32" operator="greaterThanOrEqual">
      <formula>20</formula>
    </cfRule>
  </conditionalFormatting>
  <conditionalFormatting sqref="P35">
    <cfRule type="cellIs" dxfId="154" priority="31" operator="greaterThanOrEqual">
      <formula>0.1</formula>
    </cfRule>
  </conditionalFormatting>
  <conditionalFormatting sqref="R35">
    <cfRule type="cellIs" dxfId="153" priority="30" operator="greaterThanOrEqual">
      <formula>0.3</formula>
    </cfRule>
  </conditionalFormatting>
  <conditionalFormatting sqref="J35">
    <cfRule type="cellIs" dxfId="152" priority="29" operator="greaterThanOrEqual">
      <formula>8.5</formula>
    </cfRule>
  </conditionalFormatting>
  <conditionalFormatting sqref="S35">
    <cfRule type="cellIs" dxfId="151" priority="28" operator="greaterThanOrEqual">
      <formula>0.05</formula>
    </cfRule>
  </conditionalFormatting>
  <conditionalFormatting sqref="J35">
    <cfRule type="cellIs" dxfId="150" priority="27" operator="lessThanOrEqual">
      <formula>6.5</formula>
    </cfRule>
  </conditionalFormatting>
  <conditionalFormatting sqref="W35">
    <cfRule type="cellIs" dxfId="149" priority="26" operator="greaterThanOrEqual">
      <formula>50</formula>
    </cfRule>
  </conditionalFormatting>
  <conditionalFormatting sqref="H35">
    <cfRule type="cellIs" dxfId="148" priority="25" operator="greaterThanOrEqual">
      <formula>20</formula>
    </cfRule>
  </conditionalFormatting>
  <conditionalFormatting sqref="O34">
    <cfRule type="cellIs" dxfId="147" priority="24" operator="greaterThanOrEqual">
      <formula>1</formula>
    </cfRule>
  </conditionalFormatting>
  <conditionalFormatting sqref="K34">
    <cfRule type="cellIs" dxfId="146" priority="23" operator="greaterThanOrEqual">
      <formula>400</formula>
    </cfRule>
  </conditionalFormatting>
  <conditionalFormatting sqref="L34">
    <cfRule type="cellIs" dxfId="145" priority="22" operator="greaterThanOrEqual">
      <formula>61</formula>
    </cfRule>
  </conditionalFormatting>
  <conditionalFormatting sqref="I34">
    <cfRule type="cellIs" dxfId="144" priority="21" operator="greaterThanOrEqual">
      <formula>20</formula>
    </cfRule>
  </conditionalFormatting>
  <conditionalFormatting sqref="P34">
    <cfRule type="cellIs" dxfId="143" priority="20" operator="greaterThanOrEqual">
      <formula>0.1</formula>
    </cfRule>
  </conditionalFormatting>
  <conditionalFormatting sqref="R34">
    <cfRule type="cellIs" dxfId="142" priority="19" operator="greaterThanOrEqual">
      <formula>0.3</formula>
    </cfRule>
  </conditionalFormatting>
  <conditionalFormatting sqref="J34">
    <cfRule type="cellIs" dxfId="141" priority="18" operator="greaterThanOrEqual">
      <formula>8.5</formula>
    </cfRule>
  </conditionalFormatting>
  <conditionalFormatting sqref="S34">
    <cfRule type="cellIs" dxfId="140" priority="17" operator="greaterThanOrEqual">
      <formula>0.05</formula>
    </cfRule>
  </conditionalFormatting>
  <conditionalFormatting sqref="J34">
    <cfRule type="cellIs" dxfId="139" priority="16" operator="lessThanOrEqual">
      <formula>6.5</formula>
    </cfRule>
  </conditionalFormatting>
  <conditionalFormatting sqref="W34">
    <cfRule type="cellIs" dxfId="138" priority="15" operator="greaterThanOrEqual">
      <formula>50</formula>
    </cfRule>
  </conditionalFormatting>
  <conditionalFormatting sqref="H34">
    <cfRule type="cellIs" dxfId="137" priority="14" operator="greaterThanOrEqual">
      <formula>20</formula>
    </cfRule>
  </conditionalFormatting>
  <conditionalFormatting sqref="J44">
    <cfRule type="cellIs" dxfId="136" priority="13" operator="greaterThanOrEqual">
      <formula>20</formula>
    </cfRule>
  </conditionalFormatting>
  <conditionalFormatting sqref="J48">
    <cfRule type="cellIs" dxfId="135" priority="12" operator="greaterThanOrEqual">
      <formula>20</formula>
    </cfRule>
  </conditionalFormatting>
  <conditionalFormatting sqref="J33">
    <cfRule type="cellIs" dxfId="134" priority="11" operator="greaterThanOrEqual">
      <formula>20</formula>
    </cfRule>
  </conditionalFormatting>
  <conditionalFormatting sqref="K33">
    <cfRule type="cellIs" dxfId="133" priority="10" operator="greaterThanOrEqual">
      <formula>8.5</formula>
    </cfRule>
  </conditionalFormatting>
  <conditionalFormatting sqref="K33">
    <cfRule type="cellIs" dxfId="132" priority="9" operator="lessThanOrEqual">
      <formula>6.5</formula>
    </cfRule>
  </conditionalFormatting>
  <conditionalFormatting sqref="K40:K55">
    <cfRule type="cellIs" dxfId="131" priority="8" operator="greaterThanOrEqual">
      <formula>8.5</formula>
    </cfRule>
  </conditionalFormatting>
  <conditionalFormatting sqref="K40:K55">
    <cfRule type="cellIs" dxfId="130" priority="7" operator="lessThanOrEqual">
      <formula>6.5</formula>
    </cfRule>
  </conditionalFormatting>
  <conditionalFormatting sqref="K36:K38">
    <cfRule type="cellIs" dxfId="129" priority="6" operator="greaterThanOrEqual">
      <formula>8.5</formula>
    </cfRule>
  </conditionalFormatting>
  <conditionalFormatting sqref="K36:K38">
    <cfRule type="cellIs" dxfId="128" priority="5" operator="lessThanOrEqual">
      <formula>6.5</formula>
    </cfRule>
  </conditionalFormatting>
  <conditionalFormatting sqref="K58:K59">
    <cfRule type="cellIs" dxfId="127" priority="4" operator="greaterThanOrEqual">
      <formula>8.5</formula>
    </cfRule>
  </conditionalFormatting>
  <conditionalFormatting sqref="K58:K59">
    <cfRule type="cellIs" dxfId="126" priority="3" operator="lessThanOrEqual">
      <formula>6.5</formula>
    </cfRule>
  </conditionalFormatting>
  <conditionalFormatting sqref="K60">
    <cfRule type="cellIs" dxfId="125" priority="2" operator="greaterThanOrEqual">
      <formula>20</formula>
    </cfRule>
  </conditionalFormatting>
  <conditionalFormatting sqref="M40">
    <cfRule type="cellIs" dxfId="124" priority="1" operator="greaterThanOrEqual">
      <formula>61</formula>
    </cfRule>
  </conditionalFormatting>
  <printOptions horizontalCentered="1"/>
  <pageMargins left="0.7" right="0.7" top="0.75" bottom="0.75" header="0.3" footer="0.3"/>
  <pageSetup paperSize="3" scale="27" orientation="landscape" r:id="rId1"/>
  <headerFooter>
    <oddFooter>&amp;C&amp;"Microsoft YaHei,Regular"&amp;14Page &amp;P of &amp;N</oddFooter>
  </headerFooter>
  <rowBreaks count="1" manualBreakCount="1">
    <brk id="19" max="34" man="1"/>
  </rowBreaks>
  <colBreaks count="1" manualBreakCount="1">
    <brk id="31" min="3" max="80"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ACB4C-DDCD-406C-8DE6-0EC38D103D52}">
  <sheetPr>
    <pageSetUpPr fitToPage="1"/>
  </sheetPr>
  <dimension ref="A1:BT125"/>
  <sheetViews>
    <sheetView view="pageBreakPreview" topLeftCell="I4" zoomScale="60" zoomScaleNormal="85" workbookViewId="0">
      <selection activeCell="A9" sqref="A9:XFD9"/>
    </sheetView>
  </sheetViews>
  <sheetFormatPr defaultRowHeight="24.75" x14ac:dyDescent="0.4"/>
  <cols>
    <col min="1" max="1" width="35.5703125" style="70" customWidth="1"/>
    <col min="2" max="2" width="38.42578125" style="70" customWidth="1"/>
    <col min="3" max="3" width="10.140625" style="70" hidden="1" customWidth="1"/>
    <col min="4" max="4" width="27.28515625" style="71" customWidth="1"/>
    <col min="5" max="5" width="6.28515625" style="71" customWidth="1"/>
    <col min="6" max="6" width="9.5703125" style="72" customWidth="1"/>
    <col min="7" max="7" width="8.42578125" style="70" bestFit="1" customWidth="1"/>
    <col min="8" max="8" width="12.28515625" style="70" bestFit="1" customWidth="1"/>
    <col min="9" max="9" width="8.85546875" style="70" customWidth="1"/>
    <col min="10" max="10" width="12.5703125" style="70" customWidth="1"/>
    <col min="11" max="11" width="14.42578125" style="70" bestFit="1" customWidth="1"/>
    <col min="12" max="12" width="15.28515625" style="70" customWidth="1"/>
    <col min="13" max="13" width="14.42578125" style="70" bestFit="1" customWidth="1"/>
    <col min="14" max="14" width="14.7109375" style="70" customWidth="1"/>
    <col min="15" max="15" width="11.28515625" style="70" customWidth="1"/>
    <col min="16" max="16" width="10.42578125" style="70" customWidth="1"/>
    <col min="17" max="17" width="15.140625" style="70" customWidth="1"/>
    <col min="18" max="18" width="12.42578125" style="70" customWidth="1"/>
    <col min="19" max="19" width="9.85546875" style="70" customWidth="1"/>
    <col min="20" max="20" width="8.42578125" style="70" bestFit="1" customWidth="1"/>
    <col min="21" max="21" width="9.85546875" style="70" bestFit="1" customWidth="1"/>
    <col min="22" max="22" width="8.42578125" style="70" bestFit="1" customWidth="1"/>
    <col min="23" max="23" width="12.28515625" style="70" bestFit="1" customWidth="1"/>
    <col min="24" max="24" width="11.5703125" style="70" customWidth="1"/>
    <col min="25" max="25" width="6" style="70" customWidth="1"/>
    <col min="26" max="26" width="8.42578125" style="70" bestFit="1" customWidth="1"/>
    <col min="27" max="27" width="6.28515625" style="70" bestFit="1" customWidth="1"/>
    <col min="28" max="28" width="7.7109375" style="70" bestFit="1" customWidth="1"/>
    <col min="29" max="29" width="8.42578125" style="70" bestFit="1" customWidth="1"/>
    <col min="30" max="30" width="9.5703125" style="70" bestFit="1" customWidth="1"/>
    <col min="31" max="31" width="9.85546875" style="70" customWidth="1"/>
    <col min="32" max="32" width="10.28515625" style="234" bestFit="1" customWidth="1"/>
    <col min="33" max="33" width="8.7109375" style="70" customWidth="1"/>
    <col min="34" max="34" width="13.28515625" style="70" customWidth="1"/>
    <col min="35" max="35" width="12.28515625" style="70" bestFit="1" customWidth="1"/>
    <col min="36" max="36" width="7.7109375" style="70" bestFit="1" customWidth="1"/>
    <col min="37" max="38" width="8.28515625" style="70" customWidth="1"/>
    <col min="39" max="39" width="11.140625" style="70" customWidth="1"/>
    <col min="40" max="40" width="10.85546875" style="70" customWidth="1"/>
    <col min="41" max="41" width="9.140625" style="70" bestFit="1" customWidth="1"/>
    <col min="42" max="42" width="17.85546875" style="70" customWidth="1"/>
    <col min="43" max="43" width="9.140625" style="70" customWidth="1"/>
    <col min="44" max="44" width="13.7109375" style="70" customWidth="1"/>
    <col min="45" max="45" width="12.85546875" style="70" customWidth="1"/>
    <col min="46" max="46" width="10.42578125" style="70" customWidth="1"/>
    <col min="47" max="47" width="13.140625" style="70" customWidth="1"/>
    <col min="48" max="48" width="12.28515625" style="70" customWidth="1"/>
    <col min="49" max="49" width="8.42578125" style="70" customWidth="1"/>
    <col min="50" max="50" width="11.5703125" style="70" customWidth="1"/>
    <col min="51" max="51" width="13.42578125" style="230" customWidth="1"/>
    <col min="52" max="52" width="22.28515625" style="323" hidden="1" customWidth="1"/>
    <col min="53" max="53" width="9.42578125" style="70" customWidth="1"/>
    <col min="54" max="54" width="10.5703125" style="70" customWidth="1"/>
    <col min="55" max="55" width="13.28515625" style="70" customWidth="1"/>
    <col min="56" max="56" width="8.42578125" style="70" bestFit="1" customWidth="1"/>
    <col min="57" max="57" width="9.140625" style="70" bestFit="1" customWidth="1"/>
    <col min="58" max="58" width="15.42578125" style="70" bestFit="1" customWidth="1"/>
    <col min="59" max="59" width="8.42578125" style="70" customWidth="1"/>
    <col min="60" max="60" width="9.5703125" style="70" customWidth="1"/>
    <col min="61" max="61" width="11.42578125" style="70" customWidth="1"/>
    <col min="62" max="62" width="10.140625" style="70" customWidth="1"/>
    <col min="63" max="63" width="12.42578125" style="70" bestFit="1" customWidth="1"/>
    <col min="64" max="64" width="8.42578125" style="70" bestFit="1" customWidth="1"/>
    <col min="65" max="65" width="10.140625" style="70" customWidth="1"/>
    <col min="66" max="66" width="8.42578125" style="70" bestFit="1" customWidth="1"/>
    <col min="67" max="67" width="9.85546875" style="70" bestFit="1" customWidth="1"/>
    <col min="68" max="16384" width="9.140625" style="70"/>
  </cols>
  <sheetData>
    <row r="1" spans="1:67" s="158" customFormat="1" ht="51.75" thickBot="1" x14ac:dyDescent="1.25">
      <c r="A1" s="69" t="s">
        <v>51</v>
      </c>
      <c r="D1" s="159"/>
      <c r="E1" s="159"/>
      <c r="F1" s="160"/>
      <c r="AF1" s="232"/>
      <c r="AY1" s="226"/>
      <c r="AZ1" s="318"/>
    </row>
    <row r="2" spans="1:67" ht="18" customHeight="1" x14ac:dyDescent="0.4">
      <c r="A2" s="73" t="s">
        <v>52</v>
      </c>
      <c r="B2" s="74"/>
      <c r="C2" s="74"/>
      <c r="D2" s="75"/>
      <c r="E2" s="76"/>
      <c r="F2" s="334"/>
      <c r="G2" s="335"/>
      <c r="H2" s="335"/>
      <c r="I2" s="335"/>
      <c r="J2" s="336"/>
      <c r="K2" s="418" t="s">
        <v>53</v>
      </c>
      <c r="L2" s="419"/>
      <c r="M2" s="419"/>
      <c r="N2" s="419"/>
      <c r="O2" s="419"/>
      <c r="P2" s="419"/>
      <c r="Q2" s="419"/>
      <c r="R2" s="419"/>
      <c r="S2" s="419"/>
      <c r="T2" s="419"/>
      <c r="U2" s="419"/>
      <c r="V2" s="419"/>
      <c r="W2" s="419"/>
      <c r="X2" s="419"/>
      <c r="Y2" s="419"/>
      <c r="Z2" s="419"/>
      <c r="AA2" s="419"/>
      <c r="AB2" s="419"/>
      <c r="AC2" s="419"/>
      <c r="AD2" s="419"/>
      <c r="AE2" s="419"/>
      <c r="AF2" s="419"/>
      <c r="AG2" s="419"/>
      <c r="AH2" s="419"/>
      <c r="AI2" s="419"/>
      <c r="AJ2" s="419"/>
      <c r="AK2" s="419"/>
      <c r="AL2" s="419"/>
      <c r="AM2" s="419"/>
      <c r="AN2" s="419"/>
      <c r="AO2" s="419"/>
      <c r="AP2" s="419"/>
      <c r="AQ2" s="419"/>
      <c r="AR2" s="419"/>
      <c r="AS2" s="419"/>
      <c r="AT2" s="419"/>
      <c r="AU2" s="419"/>
      <c r="AV2" s="419"/>
      <c r="AW2" s="419"/>
      <c r="AX2" s="419"/>
      <c r="AY2" s="419"/>
      <c r="AZ2" s="419"/>
      <c r="BA2" s="419"/>
      <c r="BB2" s="419"/>
      <c r="BC2" s="419"/>
      <c r="BD2" s="419"/>
      <c r="BE2" s="419"/>
      <c r="BF2" s="419"/>
      <c r="BG2" s="419"/>
      <c r="BH2" s="419"/>
      <c r="BI2" s="419"/>
      <c r="BJ2" s="419"/>
      <c r="BK2" s="419"/>
      <c r="BL2" s="419"/>
      <c r="BM2" s="419"/>
      <c r="BN2" s="419"/>
      <c r="BO2" s="420"/>
    </row>
    <row r="3" spans="1:67" s="84" customFormat="1" ht="25.5" thickBot="1" x14ac:dyDescent="0.35">
      <c r="A3" s="80"/>
      <c r="B3" s="81"/>
      <c r="C3" s="81"/>
      <c r="D3" s="82"/>
      <c r="E3" s="83"/>
      <c r="F3" s="421" t="s">
        <v>54</v>
      </c>
      <c r="G3" s="422"/>
      <c r="H3" s="422"/>
      <c r="I3" s="422"/>
      <c r="J3" s="423"/>
      <c r="K3" s="424" t="s">
        <v>55</v>
      </c>
      <c r="L3" s="425"/>
      <c r="M3" s="425"/>
      <c r="N3" s="426"/>
      <c r="O3" s="427" t="s">
        <v>56</v>
      </c>
      <c r="P3" s="428"/>
      <c r="Q3" s="428"/>
      <c r="R3" s="428"/>
      <c r="S3" s="428"/>
      <c r="T3" s="428"/>
      <c r="U3" s="428"/>
      <c r="V3" s="428"/>
      <c r="W3" s="428"/>
      <c r="X3" s="429"/>
      <c r="Y3" s="427" t="s">
        <v>57</v>
      </c>
      <c r="Z3" s="428"/>
      <c r="AA3" s="430"/>
      <c r="AB3" s="430"/>
      <c r="AC3" s="431"/>
      <c r="AD3" s="432" t="s">
        <v>58</v>
      </c>
      <c r="AE3" s="433" t="s">
        <v>59</v>
      </c>
      <c r="AF3" s="434" t="s">
        <v>60</v>
      </c>
      <c r="AG3" s="433" t="s">
        <v>61</v>
      </c>
      <c r="AH3" s="433" t="s">
        <v>62</v>
      </c>
      <c r="AI3" s="433" t="s">
        <v>63</v>
      </c>
      <c r="AJ3" s="435" t="s">
        <v>64</v>
      </c>
      <c r="AK3" s="436" t="s">
        <v>65</v>
      </c>
      <c r="AL3" s="437"/>
      <c r="AM3" s="437"/>
      <c r="AN3" s="437"/>
      <c r="AO3" s="437"/>
      <c r="AP3" s="437"/>
      <c r="AQ3" s="437"/>
      <c r="AR3" s="437"/>
      <c r="AS3" s="437"/>
      <c r="AT3" s="437"/>
      <c r="AU3" s="437"/>
      <c r="AV3" s="437"/>
      <c r="AW3" s="437"/>
      <c r="AX3" s="437"/>
      <c r="AY3" s="438"/>
      <c r="AZ3" s="346"/>
      <c r="BA3" s="439" t="s">
        <v>66</v>
      </c>
      <c r="BB3" s="437"/>
      <c r="BC3" s="437"/>
      <c r="BD3" s="437"/>
      <c r="BE3" s="437"/>
      <c r="BF3" s="437"/>
      <c r="BG3" s="437"/>
      <c r="BH3" s="437"/>
      <c r="BI3" s="437"/>
      <c r="BJ3" s="437"/>
      <c r="BK3" s="437"/>
      <c r="BL3" s="437"/>
      <c r="BM3" s="437"/>
      <c r="BN3" s="437"/>
      <c r="BO3" s="440"/>
    </row>
    <row r="4" spans="1:67" ht="190.5" customHeight="1" x14ac:dyDescent="0.4">
      <c r="A4" s="80" t="s">
        <v>67</v>
      </c>
      <c r="B4" s="85" t="s">
        <v>68</v>
      </c>
      <c r="C4" s="85"/>
      <c r="D4" s="82" t="s">
        <v>69</v>
      </c>
      <c r="E4" s="86" t="s">
        <v>7</v>
      </c>
      <c r="F4" s="87" t="s">
        <v>12</v>
      </c>
      <c r="G4" s="88" t="s">
        <v>8</v>
      </c>
      <c r="H4" s="88" t="s">
        <v>70</v>
      </c>
      <c r="I4" s="88" t="s">
        <v>15</v>
      </c>
      <c r="J4" s="89" t="s">
        <v>71</v>
      </c>
      <c r="K4" s="90" t="s">
        <v>20</v>
      </c>
      <c r="L4" s="91" t="s">
        <v>72</v>
      </c>
      <c r="M4" s="92" t="s">
        <v>16</v>
      </c>
      <c r="N4" s="93" t="s">
        <v>73</v>
      </c>
      <c r="O4" s="94" t="s">
        <v>74</v>
      </c>
      <c r="P4" s="92" t="s">
        <v>75</v>
      </c>
      <c r="Q4" s="92" t="s">
        <v>76</v>
      </c>
      <c r="R4" s="92" t="s">
        <v>77</v>
      </c>
      <c r="S4" s="92" t="s">
        <v>78</v>
      </c>
      <c r="T4" s="92" t="s">
        <v>79</v>
      </c>
      <c r="U4" s="92" t="s">
        <v>80</v>
      </c>
      <c r="V4" s="92" t="s">
        <v>15</v>
      </c>
      <c r="W4" s="95" t="s">
        <v>81</v>
      </c>
      <c r="X4" s="96" t="s">
        <v>12</v>
      </c>
      <c r="Y4" s="97" t="s">
        <v>82</v>
      </c>
      <c r="Z4" s="92" t="s">
        <v>83</v>
      </c>
      <c r="AA4" s="92" t="s">
        <v>84</v>
      </c>
      <c r="AB4" s="92" t="s">
        <v>85</v>
      </c>
      <c r="AC4" s="98" t="s">
        <v>86</v>
      </c>
      <c r="AD4" s="393"/>
      <c r="AE4" s="383"/>
      <c r="AF4" s="395"/>
      <c r="AG4" s="383"/>
      <c r="AH4" s="383"/>
      <c r="AI4" s="383"/>
      <c r="AJ4" s="381"/>
      <c r="AK4" s="97" t="s">
        <v>38</v>
      </c>
      <c r="AL4" s="92" t="s">
        <v>87</v>
      </c>
      <c r="AM4" s="92" t="s">
        <v>28</v>
      </c>
      <c r="AN4" s="92" t="s">
        <v>88</v>
      </c>
      <c r="AO4" s="92" t="s">
        <v>89</v>
      </c>
      <c r="AP4" s="92" t="s">
        <v>90</v>
      </c>
      <c r="AQ4" s="92" t="s">
        <v>32</v>
      </c>
      <c r="AR4" s="92" t="s">
        <v>26</v>
      </c>
      <c r="AS4" s="92" t="s">
        <v>27</v>
      </c>
      <c r="AT4" s="92" t="s">
        <v>91</v>
      </c>
      <c r="AU4" s="92" t="s">
        <v>37</v>
      </c>
      <c r="AV4" s="92" t="s">
        <v>36</v>
      </c>
      <c r="AW4" s="92" t="s">
        <v>92</v>
      </c>
      <c r="AX4" s="92" t="s">
        <v>93</v>
      </c>
      <c r="AY4" s="227" t="s">
        <v>39</v>
      </c>
      <c r="AZ4" s="319"/>
      <c r="BA4" s="99" t="s">
        <v>38</v>
      </c>
      <c r="BB4" s="92" t="s">
        <v>87</v>
      </c>
      <c r="BC4" s="92" t="s">
        <v>28</v>
      </c>
      <c r="BD4" s="92" t="s">
        <v>88</v>
      </c>
      <c r="BE4" s="92" t="s">
        <v>89</v>
      </c>
      <c r="BF4" s="92" t="s">
        <v>90</v>
      </c>
      <c r="BG4" s="92" t="s">
        <v>32</v>
      </c>
      <c r="BH4" s="92" t="s">
        <v>26</v>
      </c>
      <c r="BI4" s="92" t="s">
        <v>27</v>
      </c>
      <c r="BJ4" s="92" t="s">
        <v>91</v>
      </c>
      <c r="BK4" s="92" t="s">
        <v>37</v>
      </c>
      <c r="BL4" s="92" t="s">
        <v>36</v>
      </c>
      <c r="BM4" s="92" t="s">
        <v>92</v>
      </c>
      <c r="BN4" s="92" t="s">
        <v>93</v>
      </c>
      <c r="BO4" s="100" t="s">
        <v>39</v>
      </c>
    </row>
    <row r="5" spans="1:67" s="104" customFormat="1" ht="40.5" customHeight="1" thickBot="1" x14ac:dyDescent="0.35">
      <c r="A5" s="340"/>
      <c r="B5" s="341"/>
      <c r="C5" s="341"/>
      <c r="D5" s="342"/>
      <c r="E5" s="343"/>
      <c r="F5" s="344" t="s">
        <v>13</v>
      </c>
      <c r="G5" s="365" t="s">
        <v>9</v>
      </c>
      <c r="H5" s="365" t="s">
        <v>94</v>
      </c>
      <c r="I5" s="365" t="s">
        <v>95</v>
      </c>
      <c r="J5" s="366" t="s">
        <v>96</v>
      </c>
      <c r="K5" s="441" t="s">
        <v>97</v>
      </c>
      <c r="L5" s="442"/>
      <c r="M5" s="442"/>
      <c r="N5" s="443"/>
      <c r="O5" s="441" t="s">
        <v>9</v>
      </c>
      <c r="P5" s="442"/>
      <c r="Q5" s="442"/>
      <c r="R5" s="442"/>
      <c r="S5" s="442"/>
      <c r="T5" s="442"/>
      <c r="U5" s="442"/>
      <c r="V5" s="365" t="s">
        <v>95</v>
      </c>
      <c r="W5" s="345" t="s">
        <v>98</v>
      </c>
      <c r="X5" s="366" t="s">
        <v>13</v>
      </c>
      <c r="Y5" s="441" t="s">
        <v>99</v>
      </c>
      <c r="Z5" s="442"/>
      <c r="AA5" s="442"/>
      <c r="AB5" s="442"/>
      <c r="AC5" s="444"/>
      <c r="AD5" s="445" t="s">
        <v>9</v>
      </c>
      <c r="AE5" s="442"/>
      <c r="AF5" s="442"/>
      <c r="AG5" s="442"/>
      <c r="AH5" s="442"/>
      <c r="AI5" s="442"/>
      <c r="AJ5" s="446"/>
      <c r="AK5" s="442" t="s">
        <v>100</v>
      </c>
      <c r="AL5" s="447"/>
      <c r="AM5" s="447"/>
      <c r="AN5" s="447"/>
      <c r="AO5" s="447"/>
      <c r="AP5" s="447"/>
      <c r="AQ5" s="447"/>
      <c r="AR5" s="447"/>
      <c r="AS5" s="447"/>
      <c r="AT5" s="447"/>
      <c r="AU5" s="447"/>
      <c r="AV5" s="447"/>
      <c r="AW5" s="447"/>
      <c r="AX5" s="447"/>
      <c r="AY5" s="447"/>
      <c r="AZ5" s="447"/>
      <c r="BA5" s="447"/>
      <c r="BB5" s="447"/>
      <c r="BC5" s="447"/>
      <c r="BD5" s="447"/>
      <c r="BE5" s="447"/>
      <c r="BF5" s="447"/>
      <c r="BG5" s="447"/>
      <c r="BH5" s="447"/>
      <c r="BI5" s="447"/>
      <c r="BJ5" s="447"/>
      <c r="BK5" s="447"/>
      <c r="BL5" s="447"/>
      <c r="BM5" s="447"/>
      <c r="BN5" s="447"/>
      <c r="BO5" s="448"/>
    </row>
    <row r="6" spans="1:67" s="225" customFormat="1" ht="40.5" hidden="1" customHeight="1" x14ac:dyDescent="0.3">
      <c r="A6" s="250"/>
      <c r="B6" s="251"/>
      <c r="C6" s="251"/>
      <c r="D6" s="252"/>
      <c r="E6" s="252"/>
      <c r="F6" s="253"/>
      <c r="G6" s="254"/>
      <c r="H6" s="254"/>
      <c r="I6" s="254"/>
      <c r="J6" s="254"/>
      <c r="K6" s="254"/>
      <c r="L6" s="254"/>
      <c r="M6" s="254"/>
      <c r="N6" s="254"/>
      <c r="O6" s="254"/>
      <c r="P6" s="254"/>
      <c r="Q6" s="254"/>
      <c r="R6" s="254"/>
      <c r="S6" s="254"/>
      <c r="T6" s="254"/>
      <c r="U6" s="254"/>
      <c r="V6" s="254"/>
      <c r="W6" s="255"/>
      <c r="X6" s="254"/>
      <c r="Y6" s="254"/>
      <c r="Z6" s="254"/>
      <c r="AA6" s="254"/>
      <c r="AB6" s="254"/>
      <c r="AC6" s="256"/>
      <c r="AD6" s="254"/>
      <c r="AE6" s="254"/>
      <c r="AF6" s="257"/>
      <c r="AG6" s="254"/>
      <c r="AH6" s="254"/>
      <c r="AI6" s="254"/>
      <c r="AJ6" s="254"/>
      <c r="AK6" s="254"/>
      <c r="AL6" s="256"/>
      <c r="AM6" s="256"/>
      <c r="AN6" s="256"/>
      <c r="AO6" s="256"/>
      <c r="AP6" s="256"/>
      <c r="AQ6" s="256"/>
      <c r="AR6" s="256"/>
      <c r="AS6" s="256"/>
      <c r="AT6" s="256"/>
      <c r="AU6" s="256"/>
      <c r="AV6" s="256"/>
      <c r="AW6" s="256"/>
      <c r="AX6" s="256"/>
      <c r="AY6" s="258"/>
      <c r="AZ6" s="320"/>
      <c r="BA6" s="256"/>
      <c r="BB6" s="256"/>
      <c r="BC6" s="256"/>
      <c r="BD6" s="256"/>
      <c r="BE6" s="256"/>
      <c r="BF6" s="256"/>
      <c r="BG6" s="256"/>
      <c r="BH6" s="256"/>
      <c r="BI6" s="256"/>
      <c r="BJ6" s="256"/>
      <c r="BK6" s="256"/>
      <c r="BL6" s="256"/>
      <c r="BM6" s="256"/>
      <c r="BN6" s="256"/>
      <c r="BO6" s="259"/>
    </row>
    <row r="7" spans="1:67" ht="27" customHeight="1" x14ac:dyDescent="0.4">
      <c r="A7" s="266" t="s">
        <v>105</v>
      </c>
      <c r="B7" s="106" t="str">
        <f t="shared" ref="B7:B38" si="0">VLOOKUP(A7, juris, 3, FALSE)</f>
        <v>Aliso Viejo</v>
      </c>
      <c r="C7" s="223">
        <v>1922001</v>
      </c>
      <c r="D7" s="107">
        <f t="shared" ref="D7:D19" si="1">VLOOKUP(C7,WaterQuality, 2, FALSE)</f>
        <v>44446.40902777778</v>
      </c>
      <c r="E7" s="107"/>
      <c r="F7" s="108">
        <f t="shared" ref="F7:F19" si="2">VLOOKUP($C7, WaterQuality, 119, FALSE)</f>
        <v>5.17</v>
      </c>
      <c r="G7" s="108">
        <f t="shared" ref="G7:G19" si="3">VLOOKUP($C7, WaterQuality, 115, FALSE)</f>
        <v>6.72</v>
      </c>
      <c r="H7" s="109">
        <f t="shared" ref="H7:H19" si="4">VLOOKUP($C7, WaterQuality, 117, FALSE)</f>
        <v>3087</v>
      </c>
      <c r="I7" s="110">
        <f t="shared" ref="I7:I19" si="5">VLOOKUP($C7, WaterQuality, 116, FALSE)</f>
        <v>7.95</v>
      </c>
      <c r="J7" s="110">
        <f t="shared" ref="J7:J19" si="6">VLOOKUP($C7, WaterQuality, 118, FALSE)</f>
        <v>22.27</v>
      </c>
      <c r="K7" s="109">
        <f t="shared" ref="K7:K19" si="7">VLOOKUP($C7, WaterQuality, 112, FALSE)</f>
        <v>6900</v>
      </c>
      <c r="L7" s="109">
        <f t="shared" ref="L7:L19" si="8">VLOOKUP($C7,WaterQuality, 111, FALSE)</f>
        <v>15900</v>
      </c>
      <c r="M7" s="109" t="str">
        <f t="shared" ref="M7:M19" si="9">VLOOKUP($C7,WaterQuality, 113, FALSE)</f>
        <v>&gt;=9900</v>
      </c>
      <c r="N7" s="109" t="str">
        <f t="shared" ref="N7:N19" si="10">VLOOKUP($C7,WaterQuality, 114, FALSE)</f>
        <v>&gt;=76000</v>
      </c>
      <c r="O7" s="110">
        <f t="shared" ref="O7:O19" si="11">VLOOKUP($C7,WaterQuality, 97, FALSE)</f>
        <v>0.11</v>
      </c>
      <c r="P7" s="108">
        <f t="shared" ref="P7:P19" si="12">VLOOKUP($C7,WaterQuality, 99, FALSE)</f>
        <v>7.1</v>
      </c>
      <c r="Q7" s="111">
        <f t="shared" ref="Q7:Q19" si="13">VLOOKUP($C7,WaterQuality, 101, FALSE)</f>
        <v>0.37</v>
      </c>
      <c r="R7" s="108">
        <f t="shared" ref="R7:R19" si="14">VLOOKUP($C7,WaterQuality, 100, FALSE)</f>
        <v>1.2</v>
      </c>
      <c r="S7" s="108">
        <f t="shared" ref="S7:S19" si="15">VLOOKUP($C7,WaterQuality, 103, FALSE)</f>
        <v>1.3</v>
      </c>
      <c r="T7" s="109" t="str">
        <f t="shared" ref="T7:T19" si="16">VLOOKUP($C7,WaterQuality, 108, FALSE)</f>
        <v>&lt;5.6</v>
      </c>
      <c r="U7" s="108">
        <f t="shared" ref="U7:U19" si="17">VLOOKUP($C7,WaterQuality, 109, FALSE)</f>
        <v>5.9</v>
      </c>
      <c r="V7" s="110">
        <f t="shared" ref="V7:V19" si="18">VLOOKUP($C7,WaterQuality, 102, FALSE)</f>
        <v>7.39</v>
      </c>
      <c r="W7" s="109">
        <f t="shared" ref="W7:W19" si="19">VLOOKUP($C7,WaterQuality, 104, FALSE)</f>
        <v>3400</v>
      </c>
      <c r="X7" s="108">
        <f t="shared" ref="X7:X19" si="20">VLOOKUP($C7,WaterQuality, 110, FALSE)</f>
        <v>3.4</v>
      </c>
      <c r="Y7" s="108" t="str">
        <f t="shared" ref="Y7:Y19" si="21">VLOOKUP($C7,WaterQuality, 14, FALSE)</f>
        <v>&lt;2</v>
      </c>
      <c r="Z7" s="110" t="str">
        <f t="shared" ref="Z7:Z19" si="22">VLOOKUP($C7,WaterQuality, 17, FALSE)</f>
        <v>&lt;2</v>
      </c>
      <c r="AA7" s="110" t="str">
        <f t="shared" ref="AA7:AA19" si="23">VLOOKUP($C7,WaterQuality, 44, FALSE)</f>
        <v>&lt;2</v>
      </c>
      <c r="AB7" s="108" t="str">
        <f t="shared" ref="AB7:AB19" si="24">VLOOKUP($C7,WaterQuality, 40, FALSE)</f>
        <v>&lt;1</v>
      </c>
      <c r="AC7" s="108" t="str">
        <f t="shared" ref="AC7:AC19" si="25">VLOOKUP($C7,WaterQuality, 26, FALSE)</f>
        <v>&lt;5</v>
      </c>
      <c r="AD7" s="106">
        <f t="shared" ref="AD7:AD19" si="26">VLOOKUP($C7,WaterQuality, 98, FALSE)</f>
        <v>510</v>
      </c>
      <c r="AE7" s="106">
        <f t="shared" ref="AE7:AE19" si="27">VLOOKUP($C7,WaterQuality, 83, FALSE)</f>
        <v>7.2</v>
      </c>
      <c r="AF7" s="109">
        <f t="shared" ref="AF7:AF19" si="28">VLOOKUP($C7,WaterQuality, 84, FALSE)</f>
        <v>1070</v>
      </c>
      <c r="AG7" s="106" t="str">
        <f t="shared" ref="AG7:AG19" si="29">VLOOKUP($C7,WaterQuality, 89, FALSE)</f>
        <v>&lt;0.05</v>
      </c>
      <c r="AH7" s="109">
        <f t="shared" ref="AH7:AH19" si="30">VLOOKUP($C7,WaterQuality, 105, FALSE)</f>
        <v>910</v>
      </c>
      <c r="AI7" s="109">
        <f t="shared" ref="AI7:AI19" si="31">VLOOKUP($C7,WaterQuality, 107, FALSE)</f>
        <v>2300</v>
      </c>
      <c r="AJ7" s="106">
        <f t="shared" ref="AJ7:AJ19" si="32">VLOOKUP($C7,WaterQuality, 95, FALSE)</f>
        <v>6.5</v>
      </c>
      <c r="AK7" s="106" t="str">
        <f t="shared" ref="AK7:AK19" si="33">VLOOKUP($C7,WaterQuality, 93, FALSE)</f>
        <v>&lt;0.2</v>
      </c>
      <c r="AL7" s="106">
        <f t="shared" ref="AL7:AL19" si="34">VLOOKUP($C7,WaterQuality, 77, FALSE)</f>
        <v>16</v>
      </c>
      <c r="AM7" s="106">
        <f t="shared" ref="AM7:AM19" si="35">VLOOKUP($C7,WaterQuality, 78, FALSE)</f>
        <v>2.2999999999999998</v>
      </c>
      <c r="AN7" s="112">
        <f t="shared" ref="AN7:AN19" si="36">VLOOKUP($C7,WaterQuality, 81, FALSE)</f>
        <v>2.1</v>
      </c>
      <c r="AO7" s="106">
        <f t="shared" ref="AO7:AO19" si="37">VLOOKUP($C7,WaterQuality, 80, FALSE)</f>
        <v>1.2</v>
      </c>
      <c r="AP7" s="111">
        <f>AN7-AO7</f>
        <v>0.90000000000000013</v>
      </c>
      <c r="AQ7" s="106">
        <f t="shared" ref="AQ7:AQ19" si="38">VLOOKUP($C7,WaterQuality, 82, FALSE)</f>
        <v>8.1999999999999993</v>
      </c>
      <c r="AR7" s="109">
        <f t="shared" ref="AR7:AR19" si="39">VLOOKUP($C7,WaterQuality, 85, FALSE)</f>
        <v>300</v>
      </c>
      <c r="AS7" s="109">
        <f t="shared" ref="AS7:AS19" si="40">VLOOKUP($C7,WaterQuality, 88, FALSE)</f>
        <v>30</v>
      </c>
      <c r="AT7" s="110">
        <f t="shared" ref="AT7:AT19" si="41">VLOOKUP($C7,WaterQuality, 90, FALSE)</f>
        <v>0.13</v>
      </c>
      <c r="AU7" s="109">
        <f t="shared" ref="AU7:AU19" si="42">VLOOKUP($C7,WaterQuality, 91, FALSE)</f>
        <v>11</v>
      </c>
      <c r="AV7" s="110">
        <f t="shared" ref="AV7:AV19" si="43">VLOOKUP($C7,WaterQuality, 86, FALSE)</f>
        <v>0.2</v>
      </c>
      <c r="AW7" s="109">
        <f t="shared" ref="AW7:AW19" si="44">VLOOKUP($C7,WaterQuality, 92, FALSE)</f>
        <v>47</v>
      </c>
      <c r="AX7" s="108" t="str">
        <f t="shared" ref="AX7:AX19" si="45">VLOOKUP($C7,WaterQuality, 94, FALSE)</f>
        <v>&lt;0.2</v>
      </c>
      <c r="AY7" s="231">
        <f t="shared" ref="AY7:AY19" si="46">VLOOKUP($C7,WaterQuality, 96, FALSE)</f>
        <v>15</v>
      </c>
      <c r="AZ7" s="223">
        <v>1922005</v>
      </c>
      <c r="BA7" s="106" t="str">
        <f t="shared" ref="BA7:BA19" si="47">VLOOKUP($AZ7,WaterQuality, 93, FALSE)</f>
        <v>&lt;0.2</v>
      </c>
      <c r="BB7" s="106">
        <f t="shared" ref="BB7:BB19" si="48">VLOOKUP($AZ7,WaterQuality, 77, FALSE)</f>
        <v>15</v>
      </c>
      <c r="BC7" s="112">
        <f t="shared" ref="BC7:BC19" si="49">VLOOKUP($AZ7,WaterQuality, 78, FALSE)</f>
        <v>1.5</v>
      </c>
      <c r="BD7" s="111">
        <f t="shared" ref="BD7:BD19" si="50">VLOOKUP($AZ7,WaterQuality, 81, FALSE)</f>
        <v>1.2</v>
      </c>
      <c r="BE7" s="106">
        <f t="shared" ref="BE7:BE19" si="51">VLOOKUP($AZ7,WaterQuality, 80, FALSE)</f>
        <v>1.2</v>
      </c>
      <c r="BF7" s="111">
        <f>BD7-BE7</f>
        <v>0</v>
      </c>
      <c r="BG7" s="106">
        <f t="shared" ref="BG7:BG19" si="52">VLOOKUP($AZ7,WaterQuality, 82, FALSE)</f>
        <v>2.8</v>
      </c>
      <c r="BH7" s="109" t="str">
        <f t="shared" ref="BH7:BH19" si="53">VLOOKUP($AZ7,WaterQuality, 85, FALSE)</f>
        <v>&lt;20</v>
      </c>
      <c r="BI7" s="109">
        <f t="shared" ref="BI7:BI19" si="54">VLOOKUP($AZ7,WaterQuality, 88, FALSE)</f>
        <v>20</v>
      </c>
      <c r="BJ7" s="109">
        <f t="shared" ref="BJ7:BJ19" si="55">VLOOKUP($AZ7,WaterQuality, 90, FALSE)</f>
        <v>0.08</v>
      </c>
      <c r="BK7" s="112">
        <f t="shared" ref="BK7:BK19" si="56">VLOOKUP($AZ7,WaterQuality, 91, FALSE)</f>
        <v>11</v>
      </c>
      <c r="BL7" s="110" t="str">
        <f t="shared" ref="BL7:BL19" si="57">VLOOKUP($AZ7,WaterQuality, 86, FALSE)</f>
        <v>&lt;0.2</v>
      </c>
      <c r="BM7" s="109">
        <f t="shared" ref="BM7:BM19" si="58">VLOOKUP($AZ7,WaterQuality, 92, FALSE)</f>
        <v>47</v>
      </c>
      <c r="BN7" s="110" t="str">
        <f t="shared" ref="BN7:BN19" si="59">VLOOKUP($AZ7,WaterQuality, 94, FALSE)</f>
        <v>&lt;0.2</v>
      </c>
      <c r="BO7" s="113">
        <f t="shared" ref="BO7:BO19" si="60">VLOOKUP($AZ7,WaterQuality, 96, FALSE)</f>
        <v>12</v>
      </c>
    </row>
    <row r="8" spans="1:67" ht="27" customHeight="1" x14ac:dyDescent="0.4">
      <c r="A8" s="266" t="s">
        <v>108</v>
      </c>
      <c r="B8" s="106" t="str">
        <f t="shared" si="0"/>
        <v>Aliso Viejo</v>
      </c>
      <c r="C8" s="223">
        <v>1922004</v>
      </c>
      <c r="D8" s="107">
        <f t="shared" si="1"/>
        <v>44446.457638888889</v>
      </c>
      <c r="E8" s="107"/>
      <c r="F8" s="110">
        <f t="shared" si="2"/>
        <v>0.82</v>
      </c>
      <c r="G8" s="108">
        <f t="shared" si="3"/>
        <v>6.49</v>
      </c>
      <c r="H8" s="109">
        <f t="shared" si="4"/>
        <v>1331</v>
      </c>
      <c r="I8" s="110">
        <f t="shared" si="5"/>
        <v>8.0399999999999991</v>
      </c>
      <c r="J8" s="110">
        <f t="shared" si="6"/>
        <v>22.09</v>
      </c>
      <c r="K8" s="109">
        <f t="shared" si="7"/>
        <v>210</v>
      </c>
      <c r="L8" s="109">
        <f t="shared" si="8"/>
        <v>1120</v>
      </c>
      <c r="M8" s="109" t="str">
        <f t="shared" si="9"/>
        <v>&gt;=260</v>
      </c>
      <c r="N8" s="109" t="str">
        <f t="shared" si="10"/>
        <v>&gt;=5000</v>
      </c>
      <c r="O8" s="110" t="str">
        <f t="shared" si="11"/>
        <v>&lt;0.1</v>
      </c>
      <c r="P8" s="108">
        <f t="shared" si="12"/>
        <v>2.4</v>
      </c>
      <c r="Q8" s="111">
        <f t="shared" si="13"/>
        <v>0.2</v>
      </c>
      <c r="R8" s="110">
        <f t="shared" si="14"/>
        <v>0.89</v>
      </c>
      <c r="S8" s="108">
        <f t="shared" si="15"/>
        <v>1.1000000000000001</v>
      </c>
      <c r="T8" s="109" t="str">
        <f t="shared" si="16"/>
        <v>&lt;5.6</v>
      </c>
      <c r="U8" s="108">
        <f t="shared" si="17"/>
        <v>1.8</v>
      </c>
      <c r="V8" s="110">
        <f t="shared" si="18"/>
        <v>7.49</v>
      </c>
      <c r="W8" s="109">
        <f t="shared" si="19"/>
        <v>1600</v>
      </c>
      <c r="X8" s="110">
        <f t="shared" si="20"/>
        <v>0.66</v>
      </c>
      <c r="Y8" s="108" t="str">
        <f t="shared" si="21"/>
        <v>&lt;2</v>
      </c>
      <c r="Z8" s="110" t="str">
        <f t="shared" si="22"/>
        <v>&lt;2</v>
      </c>
      <c r="AA8" s="110" t="str">
        <f t="shared" si="23"/>
        <v>&lt;2</v>
      </c>
      <c r="AB8" s="108" t="str">
        <f t="shared" si="24"/>
        <v>&lt;1</v>
      </c>
      <c r="AC8" s="108" t="str">
        <f t="shared" si="25"/>
        <v>&lt;5</v>
      </c>
      <c r="AD8" s="106">
        <f t="shared" si="26"/>
        <v>200</v>
      </c>
      <c r="AE8" s="106">
        <f t="shared" si="27"/>
        <v>5.6</v>
      </c>
      <c r="AF8" s="109">
        <f t="shared" si="28"/>
        <v>395</v>
      </c>
      <c r="AG8" s="106" t="str">
        <f t="shared" si="29"/>
        <v>&lt;0.05</v>
      </c>
      <c r="AH8" s="109">
        <f t="shared" si="30"/>
        <v>240</v>
      </c>
      <c r="AI8" s="109">
        <f t="shared" si="31"/>
        <v>840</v>
      </c>
      <c r="AJ8" s="106">
        <f t="shared" si="32"/>
        <v>4.7</v>
      </c>
      <c r="AK8" s="106" t="str">
        <f t="shared" si="33"/>
        <v>&lt;0.2</v>
      </c>
      <c r="AL8" s="106">
        <f t="shared" si="34"/>
        <v>1.1000000000000001</v>
      </c>
      <c r="AM8" s="106" t="str">
        <f t="shared" si="35"/>
        <v>&lt;0.2</v>
      </c>
      <c r="AN8" s="112">
        <f t="shared" si="36"/>
        <v>1.1000000000000001</v>
      </c>
      <c r="AO8" s="106">
        <f t="shared" si="37"/>
        <v>0.81</v>
      </c>
      <c r="AP8" s="111">
        <f t="shared" ref="AP8:AP57" si="61">AN8-AO8</f>
        <v>0.29000000000000004</v>
      </c>
      <c r="AQ8" s="106">
        <f t="shared" si="38"/>
        <v>2.6</v>
      </c>
      <c r="AR8" s="109">
        <f t="shared" si="39"/>
        <v>110</v>
      </c>
      <c r="AS8" s="109">
        <f t="shared" si="40"/>
        <v>53</v>
      </c>
      <c r="AT8" s="110">
        <f t="shared" si="41"/>
        <v>9.6000000000000002E-2</v>
      </c>
      <c r="AU8" s="108">
        <f t="shared" si="42"/>
        <v>2.4</v>
      </c>
      <c r="AV8" s="110" t="str">
        <f t="shared" si="43"/>
        <v>&lt;0.2</v>
      </c>
      <c r="AW8" s="108">
        <f t="shared" si="44"/>
        <v>2.9</v>
      </c>
      <c r="AX8" s="108" t="str">
        <f t="shared" si="45"/>
        <v>&lt;0.2</v>
      </c>
      <c r="AY8" s="231" t="str">
        <f t="shared" si="46"/>
        <v>&lt;10</v>
      </c>
      <c r="AZ8" s="223">
        <v>1922008</v>
      </c>
      <c r="BA8" s="106" t="str">
        <f t="shared" si="47"/>
        <v>&lt;0.2</v>
      </c>
      <c r="BB8" s="106">
        <f t="shared" si="48"/>
        <v>1.1000000000000001</v>
      </c>
      <c r="BC8" s="111" t="str">
        <f t="shared" si="49"/>
        <v>&lt;0.2</v>
      </c>
      <c r="BD8" s="111">
        <f t="shared" si="50"/>
        <v>0.82</v>
      </c>
      <c r="BE8" s="106">
        <f t="shared" si="51"/>
        <v>0.87</v>
      </c>
      <c r="BF8" s="330">
        <f t="shared" ref="BF8:BF57" si="62">BD8-BE8</f>
        <v>-5.0000000000000044E-2</v>
      </c>
      <c r="BG8" s="106">
        <f t="shared" si="52"/>
        <v>1.7</v>
      </c>
      <c r="BH8" s="109" t="str">
        <f t="shared" si="53"/>
        <v>&lt;20</v>
      </c>
      <c r="BI8" s="109">
        <f t="shared" si="54"/>
        <v>26</v>
      </c>
      <c r="BJ8" s="109" t="str">
        <f t="shared" si="55"/>
        <v>&lt;0.05</v>
      </c>
      <c r="BK8" s="112">
        <f t="shared" si="56"/>
        <v>2.2000000000000002</v>
      </c>
      <c r="BL8" s="110" t="str">
        <f t="shared" si="57"/>
        <v>&lt;0.2</v>
      </c>
      <c r="BM8" s="108">
        <f t="shared" si="58"/>
        <v>2.7</v>
      </c>
      <c r="BN8" s="110" t="str">
        <f t="shared" si="59"/>
        <v>&lt;0.2</v>
      </c>
      <c r="BO8" s="113" t="str">
        <f t="shared" si="60"/>
        <v>&lt;10</v>
      </c>
    </row>
    <row r="9" spans="1:67" ht="27" customHeight="1" x14ac:dyDescent="0.4">
      <c r="A9" s="266" t="s">
        <v>107</v>
      </c>
      <c r="B9" s="106" t="str">
        <f t="shared" si="0"/>
        <v>Aliso Viejo</v>
      </c>
      <c r="C9" s="223">
        <v>1921001</v>
      </c>
      <c r="D9" s="107">
        <f t="shared" si="1"/>
        <v>44448.370833333334</v>
      </c>
      <c r="E9" s="107"/>
      <c r="F9" s="108">
        <f t="shared" si="2"/>
        <v>2.13</v>
      </c>
      <c r="G9" s="108">
        <f t="shared" si="3"/>
        <v>5.61</v>
      </c>
      <c r="H9" s="109">
        <f t="shared" si="4"/>
        <v>2505</v>
      </c>
      <c r="I9" s="110">
        <f t="shared" si="5"/>
        <v>7.95</v>
      </c>
      <c r="J9" s="110">
        <f t="shared" si="6"/>
        <v>22.39</v>
      </c>
      <c r="K9" s="109">
        <f t="shared" si="7"/>
        <v>2600</v>
      </c>
      <c r="L9" s="109">
        <f t="shared" si="8"/>
        <v>760</v>
      </c>
      <c r="M9" s="109">
        <f t="shared" si="9"/>
        <v>5900</v>
      </c>
      <c r="N9" s="109" t="str">
        <f t="shared" si="10"/>
        <v>&gt;=55000</v>
      </c>
      <c r="O9" s="110">
        <f t="shared" si="11"/>
        <v>0.23</v>
      </c>
      <c r="P9" s="108">
        <f t="shared" si="12"/>
        <v>1.9</v>
      </c>
      <c r="Q9" s="111">
        <f t="shared" si="13"/>
        <v>8.6999999999999994E-2</v>
      </c>
      <c r="R9" s="110">
        <f t="shared" si="14"/>
        <v>0.84</v>
      </c>
      <c r="S9" s="110">
        <f t="shared" si="15"/>
        <v>0.77</v>
      </c>
      <c r="T9" s="109" t="str">
        <f t="shared" si="16"/>
        <v>&lt;5.6</v>
      </c>
      <c r="U9" s="108">
        <f t="shared" si="17"/>
        <v>2.2999999999999998</v>
      </c>
      <c r="V9" s="110">
        <f t="shared" si="18"/>
        <v>7.6</v>
      </c>
      <c r="W9" s="109">
        <f t="shared" si="19"/>
        <v>3000</v>
      </c>
      <c r="X9" s="108">
        <f t="shared" si="20"/>
        <v>1</v>
      </c>
      <c r="Y9" s="108" t="str">
        <f t="shared" si="21"/>
        <v>&lt;2</v>
      </c>
      <c r="Z9" s="110" t="str">
        <f t="shared" si="22"/>
        <v>&lt;2</v>
      </c>
      <c r="AA9" s="110" t="str">
        <f t="shared" si="23"/>
        <v>&lt;2</v>
      </c>
      <c r="AB9" s="108" t="str">
        <f t="shared" si="24"/>
        <v>&lt;1</v>
      </c>
      <c r="AC9" s="108" t="str">
        <f t="shared" si="25"/>
        <v>&lt;5</v>
      </c>
      <c r="AD9" s="106">
        <f t="shared" si="26"/>
        <v>330</v>
      </c>
      <c r="AE9" s="106">
        <f t="shared" si="27"/>
        <v>4.0999999999999996</v>
      </c>
      <c r="AF9" s="109">
        <f t="shared" si="28"/>
        <v>774</v>
      </c>
      <c r="AG9" s="106" t="str">
        <f t="shared" si="29"/>
        <v>&lt;0.05</v>
      </c>
      <c r="AH9" s="109">
        <f t="shared" si="30"/>
        <v>590</v>
      </c>
      <c r="AI9" s="109">
        <f t="shared" si="31"/>
        <v>1800</v>
      </c>
      <c r="AJ9" s="106">
        <f t="shared" si="32"/>
        <v>3.4</v>
      </c>
      <c r="AK9" s="106" t="str">
        <f t="shared" si="33"/>
        <v>&lt;0.2</v>
      </c>
      <c r="AL9" s="112">
        <f t="shared" si="34"/>
        <v>7</v>
      </c>
      <c r="AM9" s="106">
        <f t="shared" si="35"/>
        <v>0.32</v>
      </c>
      <c r="AN9" s="111">
        <f t="shared" si="36"/>
        <v>0.49</v>
      </c>
      <c r="AO9" s="106">
        <f t="shared" si="37"/>
        <v>0.34</v>
      </c>
      <c r="AP9" s="111">
        <f t="shared" si="61"/>
        <v>0.14999999999999997</v>
      </c>
      <c r="AQ9" s="106">
        <f t="shared" si="38"/>
        <v>3.3</v>
      </c>
      <c r="AR9" s="109">
        <f t="shared" si="39"/>
        <v>89</v>
      </c>
      <c r="AS9" s="109">
        <f t="shared" si="40"/>
        <v>140</v>
      </c>
      <c r="AT9" s="109" t="str">
        <f t="shared" si="41"/>
        <v>&lt;0.05</v>
      </c>
      <c r="AU9" s="108">
        <f t="shared" si="42"/>
        <v>3.8</v>
      </c>
      <c r="AV9" s="110" t="str">
        <f t="shared" si="43"/>
        <v>&lt;0.2</v>
      </c>
      <c r="AW9" s="108">
        <f t="shared" si="44"/>
        <v>7.2</v>
      </c>
      <c r="AX9" s="108" t="str">
        <f t="shared" si="45"/>
        <v>&lt;0.2</v>
      </c>
      <c r="AY9" s="231" t="str">
        <f t="shared" si="46"/>
        <v>&lt;10</v>
      </c>
      <c r="AZ9" s="223">
        <v>1921004</v>
      </c>
      <c r="BA9" s="106" t="str">
        <f t="shared" si="47"/>
        <v>&lt;0.2</v>
      </c>
      <c r="BB9" s="106">
        <f t="shared" si="48"/>
        <v>7.2</v>
      </c>
      <c r="BC9" s="111">
        <f t="shared" si="49"/>
        <v>0.2</v>
      </c>
      <c r="BD9" s="111">
        <f t="shared" si="50"/>
        <v>0.34</v>
      </c>
      <c r="BE9" s="106">
        <f t="shared" si="51"/>
        <v>0.25</v>
      </c>
      <c r="BF9" s="111">
        <f t="shared" si="62"/>
        <v>9.0000000000000024E-2</v>
      </c>
      <c r="BG9" s="112">
        <f t="shared" si="52"/>
        <v>2</v>
      </c>
      <c r="BH9" s="109" t="str">
        <f t="shared" si="53"/>
        <v>&lt;20</v>
      </c>
      <c r="BI9" s="109">
        <f t="shared" si="54"/>
        <v>120</v>
      </c>
      <c r="BJ9" s="109" t="str">
        <f t="shared" si="55"/>
        <v>&lt;0.05</v>
      </c>
      <c r="BK9" s="112">
        <f t="shared" si="56"/>
        <v>3.6</v>
      </c>
      <c r="BL9" s="110" t="str">
        <f t="shared" si="57"/>
        <v>&lt;0.2</v>
      </c>
      <c r="BM9" s="108">
        <f t="shared" si="58"/>
        <v>7</v>
      </c>
      <c r="BN9" s="110" t="str">
        <f t="shared" si="59"/>
        <v>&lt;0.2</v>
      </c>
      <c r="BO9" s="113" t="str">
        <f t="shared" si="60"/>
        <v>&lt;10</v>
      </c>
    </row>
    <row r="10" spans="1:67" ht="27" customHeight="1" x14ac:dyDescent="0.4">
      <c r="A10" s="266" t="s">
        <v>106</v>
      </c>
      <c r="B10" s="106" t="str">
        <f t="shared" si="0"/>
        <v>Aliso Viejo</v>
      </c>
      <c r="C10" s="223">
        <v>1921003</v>
      </c>
      <c r="D10" s="107">
        <f t="shared" si="1"/>
        <v>44448.42291666667</v>
      </c>
      <c r="E10" s="107"/>
      <c r="F10" s="108">
        <f t="shared" si="2"/>
        <v>0.97</v>
      </c>
      <c r="G10" s="108">
        <f t="shared" si="3"/>
        <v>7.87</v>
      </c>
      <c r="H10" s="109">
        <f t="shared" si="4"/>
        <v>2717</v>
      </c>
      <c r="I10" s="110">
        <f t="shared" si="5"/>
        <v>8.24</v>
      </c>
      <c r="J10" s="110">
        <f t="shared" si="6"/>
        <v>23.57</v>
      </c>
      <c r="K10" s="109">
        <f t="shared" si="7"/>
        <v>360</v>
      </c>
      <c r="L10" s="109">
        <f t="shared" si="8"/>
        <v>150</v>
      </c>
      <c r="M10" s="109">
        <f t="shared" si="9"/>
        <v>330</v>
      </c>
      <c r="N10" s="109" t="str">
        <f t="shared" si="10"/>
        <v>&gt;=1610</v>
      </c>
      <c r="O10" s="110" t="str">
        <f t="shared" si="11"/>
        <v>&lt;0.1</v>
      </c>
      <c r="P10" s="108">
        <f t="shared" si="12"/>
        <v>1.4</v>
      </c>
      <c r="Q10" s="111">
        <f t="shared" si="13"/>
        <v>2.8000000000000001E-2</v>
      </c>
      <c r="R10" s="110">
        <f t="shared" si="14"/>
        <v>0.25</v>
      </c>
      <c r="S10" s="110">
        <f t="shared" si="15"/>
        <v>0.68</v>
      </c>
      <c r="T10" s="109" t="str">
        <f t="shared" si="16"/>
        <v>&lt;5.6</v>
      </c>
      <c r="U10" s="110">
        <f t="shared" si="17"/>
        <v>0.6</v>
      </c>
      <c r="V10" s="110">
        <f t="shared" si="18"/>
        <v>7.81</v>
      </c>
      <c r="W10" s="109">
        <f t="shared" si="19"/>
        <v>3300</v>
      </c>
      <c r="X10" s="110">
        <f t="shared" si="20"/>
        <v>0.17</v>
      </c>
      <c r="Y10" s="108" t="str">
        <f t="shared" si="21"/>
        <v>&lt;2</v>
      </c>
      <c r="Z10" s="110" t="str">
        <f t="shared" si="22"/>
        <v>&lt;2</v>
      </c>
      <c r="AA10" s="110" t="str">
        <f t="shared" si="23"/>
        <v>&lt;2</v>
      </c>
      <c r="AB10" s="108" t="str">
        <f t="shared" si="24"/>
        <v>&lt;1</v>
      </c>
      <c r="AC10" s="108" t="str">
        <f t="shared" si="25"/>
        <v>&lt;5</v>
      </c>
      <c r="AD10" s="106">
        <f t="shared" si="26"/>
        <v>330</v>
      </c>
      <c r="AE10" s="106">
        <f t="shared" si="27"/>
        <v>3.2</v>
      </c>
      <c r="AF10" s="109">
        <f t="shared" si="28"/>
        <v>867</v>
      </c>
      <c r="AG10" s="106" t="str">
        <f t="shared" si="29"/>
        <v>&lt;0.05</v>
      </c>
      <c r="AH10" s="109">
        <f t="shared" si="30"/>
        <v>760</v>
      </c>
      <c r="AI10" s="109">
        <f t="shared" si="31"/>
        <v>1900</v>
      </c>
      <c r="AJ10" s="106">
        <f t="shared" si="32"/>
        <v>2.6</v>
      </c>
      <c r="AK10" s="106" t="str">
        <f t="shared" si="33"/>
        <v>&lt;0.2</v>
      </c>
      <c r="AL10" s="112">
        <f t="shared" si="34"/>
        <v>7</v>
      </c>
      <c r="AM10" s="106">
        <f t="shared" si="35"/>
        <v>0.27</v>
      </c>
      <c r="AN10" s="111">
        <f t="shared" si="36"/>
        <v>0.38</v>
      </c>
      <c r="AO10" s="106">
        <f t="shared" si="37"/>
        <v>0.37</v>
      </c>
      <c r="AP10" s="111">
        <f t="shared" si="61"/>
        <v>1.0000000000000009E-2</v>
      </c>
      <c r="AQ10" s="106">
        <f t="shared" si="38"/>
        <v>5.6</v>
      </c>
      <c r="AR10" s="109" t="str">
        <f t="shared" si="39"/>
        <v>&lt;20</v>
      </c>
      <c r="AS10" s="109">
        <f t="shared" si="40"/>
        <v>230</v>
      </c>
      <c r="AT10" s="109" t="str">
        <f t="shared" si="41"/>
        <v>&lt;0.05</v>
      </c>
      <c r="AU10" s="108">
        <f t="shared" si="42"/>
        <v>3.1</v>
      </c>
      <c r="AV10" s="110" t="str">
        <f t="shared" si="43"/>
        <v>&lt;0.2</v>
      </c>
      <c r="AW10" s="108">
        <f t="shared" si="44"/>
        <v>6.4</v>
      </c>
      <c r="AX10" s="108" t="str">
        <f t="shared" si="45"/>
        <v>&lt;0.2</v>
      </c>
      <c r="AY10" s="231" t="str">
        <f t="shared" si="46"/>
        <v>&lt;10</v>
      </c>
      <c r="AZ10" s="223">
        <v>1921006</v>
      </c>
      <c r="BA10" s="106" t="str">
        <f t="shared" si="47"/>
        <v>&lt;0.2</v>
      </c>
      <c r="BB10" s="106">
        <f t="shared" si="48"/>
        <v>7.1</v>
      </c>
      <c r="BC10" s="111">
        <f t="shared" si="49"/>
        <v>0.27</v>
      </c>
      <c r="BD10" s="111">
        <f t="shared" si="50"/>
        <v>0.35</v>
      </c>
      <c r="BE10" s="106">
        <f t="shared" si="51"/>
        <v>0.28999999999999998</v>
      </c>
      <c r="BF10" s="111">
        <f t="shared" si="62"/>
        <v>0.06</v>
      </c>
      <c r="BG10" s="106">
        <f t="shared" si="52"/>
        <v>4.9000000000000004</v>
      </c>
      <c r="BH10" s="109" t="str">
        <f t="shared" si="53"/>
        <v>&lt;20</v>
      </c>
      <c r="BI10" s="109">
        <f t="shared" si="54"/>
        <v>220</v>
      </c>
      <c r="BJ10" s="109" t="str">
        <f t="shared" si="55"/>
        <v>&lt;0.05</v>
      </c>
      <c r="BK10" s="112">
        <f t="shared" si="56"/>
        <v>3</v>
      </c>
      <c r="BL10" s="110" t="str">
        <f t="shared" si="57"/>
        <v>&lt;0.2</v>
      </c>
      <c r="BM10" s="108">
        <f t="shared" si="58"/>
        <v>6.5</v>
      </c>
      <c r="BN10" s="110" t="str">
        <f t="shared" si="59"/>
        <v>&lt;0.2</v>
      </c>
      <c r="BO10" s="113" t="str">
        <f t="shared" si="60"/>
        <v>&lt;10</v>
      </c>
    </row>
    <row r="11" spans="1:67" ht="27" customHeight="1" x14ac:dyDescent="0.4">
      <c r="A11" s="266" t="s">
        <v>104</v>
      </c>
      <c r="B11" s="115" t="str">
        <f t="shared" si="0"/>
        <v>Aliso Viejo</v>
      </c>
      <c r="C11" s="223">
        <v>1921002</v>
      </c>
      <c r="D11" s="107">
        <f t="shared" si="1"/>
        <v>44448.459722222222</v>
      </c>
      <c r="E11" s="118"/>
      <c r="F11" s="108">
        <f t="shared" si="2"/>
        <v>3.27</v>
      </c>
      <c r="G11" s="108">
        <f t="shared" si="3"/>
        <v>9.41</v>
      </c>
      <c r="H11" s="109">
        <f t="shared" si="4"/>
        <v>2114</v>
      </c>
      <c r="I11" s="110">
        <f t="shared" si="5"/>
        <v>8.41</v>
      </c>
      <c r="J11" s="110">
        <f t="shared" si="6"/>
        <v>22.36</v>
      </c>
      <c r="K11" s="109" t="str">
        <f t="shared" si="7"/>
        <v>&gt;=990</v>
      </c>
      <c r="L11" s="109">
        <f t="shared" si="8"/>
        <v>8400</v>
      </c>
      <c r="M11" s="109">
        <f t="shared" si="9"/>
        <v>1500</v>
      </c>
      <c r="N11" s="109" t="str">
        <f t="shared" si="10"/>
        <v>&gt;=38000</v>
      </c>
      <c r="O11" s="110" t="str">
        <f t="shared" si="11"/>
        <v>&lt;0.1</v>
      </c>
      <c r="P11" s="108">
        <f t="shared" si="12"/>
        <v>3.3</v>
      </c>
      <c r="Q11" s="111">
        <f t="shared" si="13"/>
        <v>0.25</v>
      </c>
      <c r="R11" s="108">
        <f t="shared" si="14"/>
        <v>1.1000000000000001</v>
      </c>
      <c r="S11" s="108">
        <f t="shared" si="15"/>
        <v>1.4</v>
      </c>
      <c r="T11" s="109" t="str">
        <f t="shared" si="16"/>
        <v>&lt;6.3</v>
      </c>
      <c r="U11" s="108">
        <f t="shared" si="17"/>
        <v>6.1</v>
      </c>
      <c r="V11" s="110">
        <f t="shared" si="18"/>
        <v>7.88</v>
      </c>
      <c r="W11" s="109">
        <f t="shared" si="19"/>
        <v>2600</v>
      </c>
      <c r="X11" s="108">
        <f t="shared" si="20"/>
        <v>2.2000000000000002</v>
      </c>
      <c r="Y11" s="108" t="str">
        <f t="shared" si="21"/>
        <v>&lt;2</v>
      </c>
      <c r="Z11" s="110" t="str">
        <f t="shared" si="22"/>
        <v>&lt;2</v>
      </c>
      <c r="AA11" s="110" t="str">
        <f t="shared" si="23"/>
        <v>&lt;2</v>
      </c>
      <c r="AB11" s="108" t="str">
        <f t="shared" si="24"/>
        <v>&lt;1</v>
      </c>
      <c r="AC11" s="108" t="str">
        <f t="shared" si="25"/>
        <v>&lt;5</v>
      </c>
      <c r="AD11" s="106">
        <f t="shared" si="26"/>
        <v>330</v>
      </c>
      <c r="AE11" s="106">
        <f t="shared" si="27"/>
        <v>8.4</v>
      </c>
      <c r="AF11" s="109">
        <f t="shared" si="28"/>
        <v>595</v>
      </c>
      <c r="AG11" s="106">
        <f t="shared" si="29"/>
        <v>5.0999999999999997E-2</v>
      </c>
      <c r="AH11" s="109">
        <f t="shared" si="30"/>
        <v>410</v>
      </c>
      <c r="AI11" s="109">
        <f t="shared" si="31"/>
        <v>1400</v>
      </c>
      <c r="AJ11" s="106">
        <f t="shared" si="32"/>
        <v>7.5</v>
      </c>
      <c r="AK11" s="106" t="str">
        <f t="shared" si="33"/>
        <v>&lt;0.2</v>
      </c>
      <c r="AL11" s="106">
        <f t="shared" si="34"/>
        <v>6.3</v>
      </c>
      <c r="AM11" s="106">
        <f t="shared" si="35"/>
        <v>0.22</v>
      </c>
      <c r="AN11" s="112">
        <f t="shared" si="36"/>
        <v>1.3</v>
      </c>
      <c r="AO11" s="106">
        <f t="shared" si="37"/>
        <v>0.7</v>
      </c>
      <c r="AP11" s="111">
        <f t="shared" si="61"/>
        <v>0.60000000000000009</v>
      </c>
      <c r="AQ11" s="106">
        <f t="shared" si="38"/>
        <v>3.6</v>
      </c>
      <c r="AR11" s="109">
        <f t="shared" si="39"/>
        <v>170</v>
      </c>
      <c r="AS11" s="109">
        <f t="shared" si="40"/>
        <v>15</v>
      </c>
      <c r="AT11" s="109" t="str">
        <f t="shared" si="41"/>
        <v>&lt;0.05</v>
      </c>
      <c r="AU11" s="108">
        <f t="shared" si="42"/>
        <v>4.5</v>
      </c>
      <c r="AV11" s="110" t="str">
        <f t="shared" si="43"/>
        <v>&lt;0.2</v>
      </c>
      <c r="AW11" s="108">
        <f t="shared" si="44"/>
        <v>7.2</v>
      </c>
      <c r="AX11" s="108" t="str">
        <f t="shared" si="45"/>
        <v>&lt;0.2</v>
      </c>
      <c r="AY11" s="231">
        <f t="shared" si="46"/>
        <v>11</v>
      </c>
      <c r="AZ11" s="223">
        <v>1921005</v>
      </c>
      <c r="BA11" s="106" t="str">
        <f t="shared" si="47"/>
        <v>&lt;0.2</v>
      </c>
      <c r="BB11" s="106">
        <f t="shared" si="48"/>
        <v>6.3</v>
      </c>
      <c r="BC11" s="111" t="str">
        <f t="shared" si="49"/>
        <v>&lt;0.2</v>
      </c>
      <c r="BD11" s="111">
        <f t="shared" si="50"/>
        <v>0.79</v>
      </c>
      <c r="BE11" s="106">
        <f t="shared" si="51"/>
        <v>0.72</v>
      </c>
      <c r="BF11" s="111">
        <f t="shared" si="62"/>
        <v>7.0000000000000062E-2</v>
      </c>
      <c r="BG11" s="106">
        <f t="shared" si="52"/>
        <v>2.2000000000000002</v>
      </c>
      <c r="BH11" s="109">
        <f t="shared" si="53"/>
        <v>24</v>
      </c>
      <c r="BI11" s="108">
        <f t="shared" si="54"/>
        <v>2.2999999999999998</v>
      </c>
      <c r="BJ11" s="109" t="str">
        <f t="shared" si="55"/>
        <v>&lt;0.05</v>
      </c>
      <c r="BK11" s="112">
        <f t="shared" si="56"/>
        <v>3.7</v>
      </c>
      <c r="BL11" s="110" t="str">
        <f t="shared" si="57"/>
        <v>&lt;0.2</v>
      </c>
      <c r="BM11" s="108">
        <f t="shared" si="58"/>
        <v>7</v>
      </c>
      <c r="BN11" s="110" t="str">
        <f t="shared" si="59"/>
        <v>&lt;0.2</v>
      </c>
      <c r="BO11" s="113" t="str">
        <f t="shared" si="60"/>
        <v>&lt;10</v>
      </c>
    </row>
    <row r="12" spans="1:67" ht="27" customHeight="1" x14ac:dyDescent="0.4">
      <c r="A12" s="266" t="s">
        <v>101</v>
      </c>
      <c r="B12" s="115" t="str">
        <f t="shared" si="0"/>
        <v>Aliso Viejo</v>
      </c>
      <c r="C12" s="223">
        <v>1943001</v>
      </c>
      <c r="D12" s="107">
        <f t="shared" si="1"/>
        <v>44455.402083333334</v>
      </c>
      <c r="E12" s="107"/>
      <c r="F12" s="108">
        <f t="shared" si="2"/>
        <v>3.48</v>
      </c>
      <c r="G12" s="108">
        <f t="shared" si="3"/>
        <v>9.9</v>
      </c>
      <c r="H12" s="109">
        <f t="shared" si="4"/>
        <v>2361</v>
      </c>
      <c r="I12" s="110">
        <f t="shared" si="5"/>
        <v>8.52</v>
      </c>
      <c r="J12" s="110">
        <f t="shared" si="6"/>
        <v>20.66</v>
      </c>
      <c r="K12" s="109">
        <f t="shared" si="7"/>
        <v>6100</v>
      </c>
      <c r="L12" s="109">
        <f t="shared" si="8"/>
        <v>9000</v>
      </c>
      <c r="M12" s="109">
        <f t="shared" si="9"/>
        <v>7300</v>
      </c>
      <c r="N12" s="109" t="str">
        <f t="shared" si="10"/>
        <v>&gt;=40000</v>
      </c>
      <c r="O12" s="110" t="str">
        <f t="shared" si="11"/>
        <v>&lt;0.1</v>
      </c>
      <c r="P12" s="109">
        <f t="shared" si="12"/>
        <v>17</v>
      </c>
      <c r="Q12" s="111">
        <f t="shared" si="13"/>
        <v>0.44</v>
      </c>
      <c r="R12" s="108">
        <f t="shared" si="14"/>
        <v>6.7</v>
      </c>
      <c r="S12" s="108">
        <f t="shared" si="15"/>
        <v>1.6</v>
      </c>
      <c r="T12" s="109" t="str">
        <f t="shared" si="16"/>
        <v>&lt;5.6</v>
      </c>
      <c r="U12" s="108">
        <f t="shared" si="17"/>
        <v>5</v>
      </c>
      <c r="V12" s="110">
        <f t="shared" si="18"/>
        <v>8.14</v>
      </c>
      <c r="W12" s="109">
        <f t="shared" si="19"/>
        <v>3100</v>
      </c>
      <c r="X12" s="108">
        <f t="shared" si="20"/>
        <v>3.5</v>
      </c>
      <c r="Y12" s="108" t="str">
        <f t="shared" si="21"/>
        <v>&lt;2</v>
      </c>
      <c r="Z12" s="110" t="str">
        <f t="shared" si="22"/>
        <v>&lt;2</v>
      </c>
      <c r="AA12" s="110" t="str">
        <f t="shared" si="23"/>
        <v>&lt;2</v>
      </c>
      <c r="AB12" s="108" t="str">
        <f t="shared" si="24"/>
        <v>&lt;1</v>
      </c>
      <c r="AC12" s="108" t="str">
        <f t="shared" si="25"/>
        <v>&lt;5</v>
      </c>
      <c r="AD12" s="106">
        <f t="shared" si="26"/>
        <v>370</v>
      </c>
      <c r="AE12" s="106">
        <f t="shared" si="27"/>
        <v>13</v>
      </c>
      <c r="AF12" s="109">
        <f t="shared" si="28"/>
        <v>645</v>
      </c>
      <c r="AG12" s="106">
        <f t="shared" si="29"/>
        <v>5.6000000000000001E-2</v>
      </c>
      <c r="AH12" s="109">
        <f t="shared" si="30"/>
        <v>440</v>
      </c>
      <c r="AI12" s="109">
        <f t="shared" si="31"/>
        <v>1600</v>
      </c>
      <c r="AJ12" s="106">
        <f t="shared" si="32"/>
        <v>12</v>
      </c>
      <c r="AK12" s="106" t="str">
        <f t="shared" si="33"/>
        <v>&lt;0.2</v>
      </c>
      <c r="AL12" s="106">
        <f t="shared" si="34"/>
        <v>11</v>
      </c>
      <c r="AM12" s="106">
        <f t="shared" si="35"/>
        <v>1.1000000000000001</v>
      </c>
      <c r="AN12" s="111">
        <f t="shared" si="36"/>
        <v>0.95</v>
      </c>
      <c r="AO12" s="106">
        <f t="shared" si="37"/>
        <v>0.39</v>
      </c>
      <c r="AP12" s="111">
        <f t="shared" si="61"/>
        <v>0.55999999999999994</v>
      </c>
      <c r="AQ12" s="106">
        <f t="shared" si="38"/>
        <v>8.8000000000000007</v>
      </c>
      <c r="AR12" s="109">
        <f t="shared" si="39"/>
        <v>190</v>
      </c>
      <c r="AS12" s="109">
        <f t="shared" si="40"/>
        <v>9.5</v>
      </c>
      <c r="AT12" s="109" t="str">
        <f t="shared" si="41"/>
        <v>&lt;0.05</v>
      </c>
      <c r="AU12" s="109">
        <f t="shared" si="42"/>
        <v>12</v>
      </c>
      <c r="AV12" s="110" t="str">
        <f t="shared" si="43"/>
        <v>&lt;0.2</v>
      </c>
      <c r="AW12" s="108">
        <f t="shared" si="44"/>
        <v>5.0999999999999996</v>
      </c>
      <c r="AX12" s="108" t="str">
        <f t="shared" si="45"/>
        <v>&lt;0.2</v>
      </c>
      <c r="AY12" s="231">
        <f t="shared" si="46"/>
        <v>23</v>
      </c>
      <c r="AZ12" s="223">
        <v>1943002</v>
      </c>
      <c r="BA12" s="106" t="str">
        <f t="shared" si="47"/>
        <v>&lt;0.2</v>
      </c>
      <c r="BB12" s="106">
        <f t="shared" si="48"/>
        <v>11</v>
      </c>
      <c r="BC12" s="112">
        <f t="shared" si="49"/>
        <v>1.1000000000000001</v>
      </c>
      <c r="BD12" s="111">
        <f t="shared" si="50"/>
        <v>0.54</v>
      </c>
      <c r="BE12" s="106">
        <f t="shared" si="51"/>
        <v>0.35</v>
      </c>
      <c r="BF12" s="111">
        <f t="shared" si="62"/>
        <v>0.19000000000000006</v>
      </c>
      <c r="BG12" s="106">
        <f t="shared" si="52"/>
        <v>7.9</v>
      </c>
      <c r="BH12" s="109">
        <f t="shared" si="53"/>
        <v>20</v>
      </c>
      <c r="BI12" s="108">
        <f t="shared" si="54"/>
        <v>5.7</v>
      </c>
      <c r="BJ12" s="109" t="str">
        <f t="shared" si="55"/>
        <v>&lt;0.05</v>
      </c>
      <c r="BK12" s="231">
        <f t="shared" si="56"/>
        <v>12</v>
      </c>
      <c r="BL12" s="110" t="str">
        <f t="shared" si="57"/>
        <v>&lt;0.2</v>
      </c>
      <c r="BM12" s="108">
        <f t="shared" si="58"/>
        <v>5.0999999999999996</v>
      </c>
      <c r="BN12" s="110" t="str">
        <f t="shared" si="59"/>
        <v>&lt;0.2</v>
      </c>
      <c r="BO12" s="113">
        <f t="shared" si="60"/>
        <v>19</v>
      </c>
    </row>
    <row r="13" spans="1:67" ht="27" customHeight="1" x14ac:dyDescent="0.4">
      <c r="A13" s="266" t="s">
        <v>109</v>
      </c>
      <c r="B13" s="106" t="str">
        <f t="shared" si="0"/>
        <v>County of Orange</v>
      </c>
      <c r="C13" s="223">
        <v>1855001</v>
      </c>
      <c r="D13" s="107">
        <f t="shared" si="1"/>
        <v>44411.386111111111</v>
      </c>
      <c r="E13" s="107"/>
      <c r="F13" s="108">
        <f t="shared" si="2"/>
        <v>2.13</v>
      </c>
      <c r="G13" s="108">
        <f t="shared" si="3"/>
        <v>8.65</v>
      </c>
      <c r="H13" s="109">
        <f t="shared" si="4"/>
        <v>1661</v>
      </c>
      <c r="I13" s="110">
        <f t="shared" si="5"/>
        <v>8.01</v>
      </c>
      <c r="J13" s="110">
        <f t="shared" si="6"/>
        <v>21.55</v>
      </c>
      <c r="K13" s="109" t="str">
        <f t="shared" si="7"/>
        <v>&gt;=310</v>
      </c>
      <c r="L13" s="109">
        <f t="shared" si="8"/>
        <v>3400</v>
      </c>
      <c r="M13" s="109" t="str">
        <f t="shared" si="9"/>
        <v>&gt;=700</v>
      </c>
      <c r="N13" s="109" t="str">
        <f t="shared" si="10"/>
        <v>&gt;=30000</v>
      </c>
      <c r="O13" s="110" t="str">
        <f t="shared" si="11"/>
        <v>&lt;0.1</v>
      </c>
      <c r="P13" s="108">
        <f t="shared" si="12"/>
        <v>1.1000000000000001</v>
      </c>
      <c r="Q13" s="111">
        <f t="shared" si="13"/>
        <v>0.17</v>
      </c>
      <c r="R13" s="108">
        <f t="shared" si="14"/>
        <v>1.5</v>
      </c>
      <c r="S13" s="110">
        <f t="shared" si="15"/>
        <v>0.63</v>
      </c>
      <c r="T13" s="109" t="str">
        <f t="shared" si="16"/>
        <v>&lt;5.6</v>
      </c>
      <c r="U13" s="108">
        <f t="shared" si="17"/>
        <v>1.6</v>
      </c>
      <c r="V13" s="110">
        <f t="shared" si="18"/>
        <v>7.74</v>
      </c>
      <c r="W13" s="109">
        <f t="shared" si="19"/>
        <v>1800</v>
      </c>
      <c r="X13" s="110">
        <f t="shared" si="20"/>
        <v>0.65</v>
      </c>
      <c r="Y13" s="108" t="str">
        <f t="shared" si="21"/>
        <v>&lt;2</v>
      </c>
      <c r="Z13" s="110" t="str">
        <f t="shared" si="22"/>
        <v>&lt;2</v>
      </c>
      <c r="AA13" s="110" t="str">
        <f t="shared" si="23"/>
        <v>&lt;2</v>
      </c>
      <c r="AB13" s="108" t="str">
        <f t="shared" si="24"/>
        <v>&lt;1</v>
      </c>
      <c r="AC13" s="108" t="str">
        <f t="shared" si="25"/>
        <v>&lt;5</v>
      </c>
      <c r="AD13" s="106">
        <f t="shared" si="26"/>
        <v>210</v>
      </c>
      <c r="AE13" s="106">
        <f t="shared" si="27"/>
        <v>8.6</v>
      </c>
      <c r="AF13" s="109">
        <f t="shared" si="28"/>
        <v>449</v>
      </c>
      <c r="AG13" s="106" t="str">
        <f t="shared" si="29"/>
        <v>&lt;0.05</v>
      </c>
      <c r="AH13" s="109">
        <f t="shared" si="30"/>
        <v>320</v>
      </c>
      <c r="AI13" s="109">
        <f t="shared" si="31"/>
        <v>1200</v>
      </c>
      <c r="AJ13" s="106">
        <f t="shared" si="32"/>
        <v>8.3000000000000007</v>
      </c>
      <c r="AK13" s="106" t="str">
        <f t="shared" si="33"/>
        <v>&lt;0.2</v>
      </c>
      <c r="AL13" s="106">
        <f t="shared" si="34"/>
        <v>2.8</v>
      </c>
      <c r="AM13" s="106" t="str">
        <f t="shared" si="35"/>
        <v>&lt;0.2</v>
      </c>
      <c r="AN13" s="111">
        <f t="shared" si="36"/>
        <v>0.48</v>
      </c>
      <c r="AO13" s="106">
        <f t="shared" si="37"/>
        <v>0.26</v>
      </c>
      <c r="AP13" s="111">
        <f t="shared" si="61"/>
        <v>0.21999999999999997</v>
      </c>
      <c r="AQ13" s="106">
        <f t="shared" si="38"/>
        <v>4.4000000000000004</v>
      </c>
      <c r="AR13" s="109">
        <f t="shared" si="39"/>
        <v>45</v>
      </c>
      <c r="AS13" s="109">
        <f t="shared" si="40"/>
        <v>36</v>
      </c>
      <c r="AT13" s="109" t="str">
        <f t="shared" si="41"/>
        <v>&lt;0.05</v>
      </c>
      <c r="AU13" s="108" t="str">
        <f t="shared" si="42"/>
        <v>&lt;2</v>
      </c>
      <c r="AV13" s="110" t="str">
        <f t="shared" si="43"/>
        <v>&lt;0.2</v>
      </c>
      <c r="AW13" s="108">
        <f t="shared" si="44"/>
        <v>0.98</v>
      </c>
      <c r="AX13" s="108" t="str">
        <f t="shared" si="45"/>
        <v>&lt;0.2</v>
      </c>
      <c r="AY13" s="231" t="str">
        <f t="shared" si="46"/>
        <v>&lt;10</v>
      </c>
      <c r="AZ13" s="223">
        <v>1855003</v>
      </c>
      <c r="BA13" s="106" t="str">
        <f t="shared" si="47"/>
        <v>&lt;0.2</v>
      </c>
      <c r="BB13" s="106">
        <f t="shared" si="48"/>
        <v>2.2999999999999998</v>
      </c>
      <c r="BC13" s="111" t="str">
        <f t="shared" si="49"/>
        <v>&lt;0.2</v>
      </c>
      <c r="BD13" s="111">
        <f t="shared" si="50"/>
        <v>0.28999999999999998</v>
      </c>
      <c r="BE13" s="106">
        <f t="shared" si="51"/>
        <v>0.24</v>
      </c>
      <c r="BF13" s="111">
        <f t="shared" si="62"/>
        <v>4.9999999999999989E-2</v>
      </c>
      <c r="BG13" s="106">
        <f t="shared" si="52"/>
        <v>3.7</v>
      </c>
      <c r="BH13" s="109" t="str">
        <f t="shared" si="53"/>
        <v>&lt;20</v>
      </c>
      <c r="BI13" s="109">
        <f t="shared" si="54"/>
        <v>15</v>
      </c>
      <c r="BJ13" s="109" t="str">
        <f t="shared" si="55"/>
        <v>&lt;0.05</v>
      </c>
      <c r="BK13" s="112" t="str">
        <f t="shared" si="56"/>
        <v>&lt;2</v>
      </c>
      <c r="BL13" s="110" t="str">
        <f t="shared" si="57"/>
        <v>&lt;0.2</v>
      </c>
      <c r="BM13" s="110">
        <f t="shared" si="58"/>
        <v>0.89</v>
      </c>
      <c r="BN13" s="110" t="str">
        <f t="shared" si="59"/>
        <v>&lt;0.2</v>
      </c>
      <c r="BO13" s="113" t="str">
        <f t="shared" si="60"/>
        <v>&lt;10</v>
      </c>
    </row>
    <row r="14" spans="1:67" ht="27" customHeight="1" x14ac:dyDescent="0.4">
      <c r="A14" s="266" t="s">
        <v>111</v>
      </c>
      <c r="B14" s="115" t="str">
        <f t="shared" si="0"/>
        <v>County of Orange</v>
      </c>
      <c r="C14" s="223">
        <v>1855002</v>
      </c>
      <c r="D14" s="107">
        <f t="shared" si="1"/>
        <v>44411.454861111109</v>
      </c>
      <c r="E14" s="107"/>
      <c r="F14" s="108">
        <f t="shared" si="2"/>
        <v>1</v>
      </c>
      <c r="G14" s="108">
        <f t="shared" si="3"/>
        <v>8.26</v>
      </c>
      <c r="H14" s="109">
        <f t="shared" si="4"/>
        <v>1749.83</v>
      </c>
      <c r="I14" s="110">
        <f t="shared" si="5"/>
        <v>8.3800000000000008</v>
      </c>
      <c r="J14" s="110">
        <f t="shared" si="6"/>
        <v>24.67</v>
      </c>
      <c r="K14" s="109" t="str">
        <f t="shared" si="7"/>
        <v>&gt;=250</v>
      </c>
      <c r="L14" s="109">
        <f t="shared" si="8"/>
        <v>1430</v>
      </c>
      <c r="M14" s="109">
        <f t="shared" si="9"/>
        <v>200</v>
      </c>
      <c r="N14" s="109" t="str">
        <f t="shared" si="10"/>
        <v>&gt;=5800</v>
      </c>
      <c r="O14" s="110">
        <f t="shared" si="11"/>
        <v>0.21</v>
      </c>
      <c r="P14" s="108">
        <f t="shared" si="12"/>
        <v>2.7</v>
      </c>
      <c r="Q14" s="111">
        <f t="shared" si="13"/>
        <v>0.37</v>
      </c>
      <c r="R14" s="108">
        <f t="shared" si="14"/>
        <v>1.1000000000000001</v>
      </c>
      <c r="S14" s="108">
        <f t="shared" si="15"/>
        <v>1.4</v>
      </c>
      <c r="T14" s="109" t="str">
        <f t="shared" si="16"/>
        <v>&lt;5.6</v>
      </c>
      <c r="U14" s="108">
        <f t="shared" si="17"/>
        <v>3.6</v>
      </c>
      <c r="V14" s="110">
        <f t="shared" si="18"/>
        <v>7.98</v>
      </c>
      <c r="W14" s="109">
        <f t="shared" si="19"/>
        <v>1800</v>
      </c>
      <c r="X14" s="110">
        <f t="shared" si="20"/>
        <v>0.63</v>
      </c>
      <c r="Y14" s="108" t="str">
        <f t="shared" si="21"/>
        <v>&lt;2</v>
      </c>
      <c r="Z14" s="110" t="str">
        <f t="shared" si="22"/>
        <v>&lt;2</v>
      </c>
      <c r="AA14" s="110" t="str">
        <f t="shared" si="23"/>
        <v>&lt;2</v>
      </c>
      <c r="AB14" s="108" t="str">
        <f t="shared" si="24"/>
        <v>&lt;1</v>
      </c>
      <c r="AC14" s="108" t="str">
        <f t="shared" si="25"/>
        <v>&lt;5</v>
      </c>
      <c r="AD14" s="106">
        <f t="shared" si="26"/>
        <v>210</v>
      </c>
      <c r="AE14" s="106">
        <f t="shared" si="27"/>
        <v>9.9</v>
      </c>
      <c r="AF14" s="109">
        <f t="shared" si="28"/>
        <v>500</v>
      </c>
      <c r="AG14" s="106" t="str">
        <f t="shared" si="29"/>
        <v>&lt;0.05</v>
      </c>
      <c r="AH14" s="109">
        <f t="shared" si="30"/>
        <v>340</v>
      </c>
      <c r="AI14" s="109">
        <f t="shared" si="31"/>
        <v>1200</v>
      </c>
      <c r="AJ14" s="106">
        <f t="shared" si="32"/>
        <v>9.6999999999999993</v>
      </c>
      <c r="AK14" s="106" t="str">
        <f t="shared" si="33"/>
        <v>&lt;0.2</v>
      </c>
      <c r="AL14" s="112">
        <f t="shared" si="34"/>
        <v>4</v>
      </c>
      <c r="AM14" s="106" t="str">
        <f t="shared" si="35"/>
        <v>&lt;0.2</v>
      </c>
      <c r="AN14" s="111">
        <f t="shared" si="36"/>
        <v>0.36</v>
      </c>
      <c r="AO14" s="106">
        <f t="shared" si="37"/>
        <v>0.15</v>
      </c>
      <c r="AP14" s="111">
        <f t="shared" si="61"/>
        <v>0.21</v>
      </c>
      <c r="AQ14" s="106">
        <f t="shared" si="38"/>
        <v>6.5</v>
      </c>
      <c r="AR14" s="109">
        <f t="shared" si="39"/>
        <v>47</v>
      </c>
      <c r="AS14" s="109">
        <f t="shared" si="40"/>
        <v>9.6</v>
      </c>
      <c r="AT14" s="109" t="str">
        <f t="shared" si="41"/>
        <v>&lt;0.05</v>
      </c>
      <c r="AU14" s="108" t="str">
        <f t="shared" si="42"/>
        <v>&lt;2</v>
      </c>
      <c r="AV14" s="110" t="str">
        <f t="shared" si="43"/>
        <v>&lt;0.2</v>
      </c>
      <c r="AW14" s="108">
        <f t="shared" si="44"/>
        <v>1.3</v>
      </c>
      <c r="AX14" s="108" t="str">
        <f t="shared" si="45"/>
        <v>&lt;0.2</v>
      </c>
      <c r="AY14" s="231">
        <f t="shared" si="46"/>
        <v>11</v>
      </c>
      <c r="AZ14" s="223">
        <v>1855004</v>
      </c>
      <c r="BA14" s="106" t="str">
        <f t="shared" si="47"/>
        <v>&lt;0.2</v>
      </c>
      <c r="BB14" s="112">
        <f t="shared" si="48"/>
        <v>4</v>
      </c>
      <c r="BC14" s="111" t="str">
        <f t="shared" si="49"/>
        <v>&lt;0.2</v>
      </c>
      <c r="BD14" s="111">
        <f t="shared" si="50"/>
        <v>0.36</v>
      </c>
      <c r="BE14" s="106">
        <f t="shared" si="51"/>
        <v>0.19</v>
      </c>
      <c r="BF14" s="111">
        <f t="shared" si="62"/>
        <v>0.16999999999999998</v>
      </c>
      <c r="BG14" s="106">
        <f t="shared" si="52"/>
        <v>6.1</v>
      </c>
      <c r="BH14" s="109" t="str">
        <f t="shared" si="53"/>
        <v>&lt;20</v>
      </c>
      <c r="BI14" s="108">
        <f t="shared" si="54"/>
        <v>8</v>
      </c>
      <c r="BJ14" s="109" t="str">
        <f t="shared" si="55"/>
        <v>&lt;0.05</v>
      </c>
      <c r="BK14" s="112" t="str">
        <f t="shared" si="56"/>
        <v>&lt;2</v>
      </c>
      <c r="BL14" s="110" t="str">
        <f t="shared" si="57"/>
        <v>&lt;0.2</v>
      </c>
      <c r="BM14" s="108">
        <f t="shared" si="58"/>
        <v>1.2</v>
      </c>
      <c r="BN14" s="110" t="str">
        <f t="shared" si="59"/>
        <v>&lt;0.2</v>
      </c>
      <c r="BO14" s="113">
        <f t="shared" si="60"/>
        <v>11</v>
      </c>
    </row>
    <row r="15" spans="1:67" ht="27" customHeight="1" x14ac:dyDescent="0.4">
      <c r="A15" s="266" t="s">
        <v>110</v>
      </c>
      <c r="B15" s="106" t="str">
        <f t="shared" si="0"/>
        <v>County of Orange</v>
      </c>
      <c r="C15" s="223">
        <v>1922003</v>
      </c>
      <c r="D15" s="107">
        <f t="shared" si="1"/>
        <v>44446.37777777778</v>
      </c>
      <c r="E15" s="107"/>
      <c r="F15" s="108">
        <f t="shared" si="2"/>
        <v>8.81</v>
      </c>
      <c r="G15" s="108">
        <f t="shared" si="3"/>
        <v>8.3000000000000007</v>
      </c>
      <c r="H15" s="109">
        <f t="shared" si="4"/>
        <v>1623</v>
      </c>
      <c r="I15" s="110">
        <f t="shared" si="5"/>
        <v>8.4700000000000006</v>
      </c>
      <c r="J15" s="110">
        <f t="shared" si="6"/>
        <v>22.42</v>
      </c>
      <c r="K15" s="109">
        <f t="shared" si="7"/>
        <v>590</v>
      </c>
      <c r="L15" s="109">
        <f t="shared" si="8"/>
        <v>4600</v>
      </c>
      <c r="M15" s="109" t="str">
        <f t="shared" si="9"/>
        <v>&gt;=982</v>
      </c>
      <c r="N15" s="109" t="str">
        <f t="shared" si="10"/>
        <v>&gt;=41000</v>
      </c>
      <c r="O15" s="110" t="str">
        <f t="shared" si="11"/>
        <v>&lt;0.1</v>
      </c>
      <c r="P15" s="108">
        <f t="shared" si="12"/>
        <v>4.2</v>
      </c>
      <c r="Q15" s="111">
        <f t="shared" si="13"/>
        <v>0.23</v>
      </c>
      <c r="R15" s="108">
        <f t="shared" si="14"/>
        <v>1.2</v>
      </c>
      <c r="S15" s="108">
        <f t="shared" si="15"/>
        <v>0.99</v>
      </c>
      <c r="T15" s="109" t="str">
        <f t="shared" si="16"/>
        <v>&lt;6.3</v>
      </c>
      <c r="U15" s="108">
        <f t="shared" si="17"/>
        <v>9.4</v>
      </c>
      <c r="V15" s="110">
        <f t="shared" si="18"/>
        <v>7.28</v>
      </c>
      <c r="W15" s="109">
        <f t="shared" si="19"/>
        <v>1900</v>
      </c>
      <c r="X15" s="108">
        <f t="shared" si="20"/>
        <v>7</v>
      </c>
      <c r="Y15" s="108" t="str">
        <f t="shared" si="21"/>
        <v>&lt;2</v>
      </c>
      <c r="Z15" s="110" t="str">
        <f t="shared" si="22"/>
        <v>&lt;2</v>
      </c>
      <c r="AA15" s="110" t="str">
        <f t="shared" si="23"/>
        <v>&lt;2</v>
      </c>
      <c r="AB15" s="108" t="str">
        <f t="shared" si="24"/>
        <v>&lt;1</v>
      </c>
      <c r="AC15" s="108" t="str">
        <f t="shared" si="25"/>
        <v>&lt;5</v>
      </c>
      <c r="AD15" s="106">
        <f t="shared" si="26"/>
        <v>280</v>
      </c>
      <c r="AE15" s="106">
        <f t="shared" si="27"/>
        <v>9.1999999999999993</v>
      </c>
      <c r="AF15" s="109">
        <f t="shared" si="28"/>
        <v>435</v>
      </c>
      <c r="AG15" s="106">
        <f t="shared" si="29"/>
        <v>6.0999999999999999E-2</v>
      </c>
      <c r="AH15" s="109">
        <f t="shared" si="30"/>
        <v>310</v>
      </c>
      <c r="AI15" s="109">
        <f t="shared" si="31"/>
        <v>1000</v>
      </c>
      <c r="AJ15" s="106">
        <f t="shared" si="32"/>
        <v>9.8000000000000007</v>
      </c>
      <c r="AK15" s="106" t="str">
        <f t="shared" si="33"/>
        <v>&lt;0.2</v>
      </c>
      <c r="AL15" s="106">
        <f t="shared" si="34"/>
        <v>2.2000000000000002</v>
      </c>
      <c r="AM15" s="106" t="str">
        <f t="shared" si="35"/>
        <v>&lt;0.2</v>
      </c>
      <c r="AN15" s="112">
        <f t="shared" si="36"/>
        <v>2.1</v>
      </c>
      <c r="AO15" s="106">
        <f t="shared" si="37"/>
        <v>0.99</v>
      </c>
      <c r="AP15" s="111">
        <f t="shared" si="61"/>
        <v>1.1100000000000001</v>
      </c>
      <c r="AQ15" s="106">
        <f t="shared" si="38"/>
        <v>22</v>
      </c>
      <c r="AR15" s="109">
        <f t="shared" si="39"/>
        <v>320</v>
      </c>
      <c r="AS15" s="109">
        <f t="shared" si="40"/>
        <v>12</v>
      </c>
      <c r="AT15" s="110">
        <f t="shared" si="41"/>
        <v>0.16</v>
      </c>
      <c r="AU15" s="108">
        <f t="shared" si="42"/>
        <v>3.2</v>
      </c>
      <c r="AV15" s="110">
        <f t="shared" si="43"/>
        <v>0.72</v>
      </c>
      <c r="AW15" s="108">
        <f t="shared" si="44"/>
        <v>1.7</v>
      </c>
      <c r="AX15" s="108" t="str">
        <f t="shared" si="45"/>
        <v>&lt;0.2</v>
      </c>
      <c r="AY15" s="231">
        <f t="shared" si="46"/>
        <v>36</v>
      </c>
      <c r="AZ15" s="223">
        <v>1922007</v>
      </c>
      <c r="BA15" s="106" t="str">
        <f t="shared" si="47"/>
        <v>&lt;0.2</v>
      </c>
      <c r="BB15" s="106">
        <f t="shared" si="48"/>
        <v>2.1</v>
      </c>
      <c r="BC15" s="111" t="str">
        <f t="shared" si="49"/>
        <v>&lt;0.2</v>
      </c>
      <c r="BD15" s="111">
        <f t="shared" si="50"/>
        <v>1</v>
      </c>
      <c r="BE15" s="106">
        <f t="shared" si="51"/>
        <v>1.1000000000000001</v>
      </c>
      <c r="BF15" s="330">
        <f t="shared" si="62"/>
        <v>-0.10000000000000009</v>
      </c>
      <c r="BG15" s="106">
        <f t="shared" si="52"/>
        <v>15</v>
      </c>
      <c r="BH15" s="109">
        <f t="shared" si="53"/>
        <v>34</v>
      </c>
      <c r="BI15" s="108">
        <f t="shared" si="54"/>
        <v>1.3</v>
      </c>
      <c r="BJ15" s="109" t="str">
        <f t="shared" si="55"/>
        <v>&lt;0.05</v>
      </c>
      <c r="BK15" s="112">
        <f t="shared" si="56"/>
        <v>2.5</v>
      </c>
      <c r="BL15" s="110" t="str">
        <f t="shared" si="57"/>
        <v>&lt;0.2</v>
      </c>
      <c r="BM15" s="108">
        <f t="shared" si="58"/>
        <v>1.6</v>
      </c>
      <c r="BN15" s="110" t="str">
        <f t="shared" si="59"/>
        <v>&lt;0.2</v>
      </c>
      <c r="BO15" s="113">
        <f t="shared" si="60"/>
        <v>18</v>
      </c>
    </row>
    <row r="16" spans="1:67" ht="27" customHeight="1" x14ac:dyDescent="0.4">
      <c r="A16" s="266" t="s">
        <v>112</v>
      </c>
      <c r="B16" s="106" t="str">
        <f t="shared" si="0"/>
        <v>County of Orange</v>
      </c>
      <c r="C16" s="223">
        <v>1857001</v>
      </c>
      <c r="D16" s="107">
        <f t="shared" si="1"/>
        <v>44448.373611111114</v>
      </c>
      <c r="E16" s="107"/>
      <c r="F16" s="108">
        <f t="shared" si="2"/>
        <v>17.2</v>
      </c>
      <c r="G16" s="108">
        <f t="shared" si="3"/>
        <v>8.7100000000000009</v>
      </c>
      <c r="H16" s="109">
        <f t="shared" si="4"/>
        <v>2855.1</v>
      </c>
      <c r="I16" s="110">
        <f t="shared" si="5"/>
        <v>8.0500000000000007</v>
      </c>
      <c r="J16" s="110">
        <f t="shared" si="6"/>
        <v>23.38</v>
      </c>
      <c r="K16" s="109">
        <f t="shared" si="7"/>
        <v>110</v>
      </c>
      <c r="L16" s="109">
        <f t="shared" si="8"/>
        <v>200</v>
      </c>
      <c r="M16" s="109">
        <f t="shared" si="9"/>
        <v>140</v>
      </c>
      <c r="N16" s="109" t="str">
        <f t="shared" si="10"/>
        <v>&gt;=500</v>
      </c>
      <c r="O16" s="110">
        <f t="shared" si="11"/>
        <v>0.56000000000000005</v>
      </c>
      <c r="P16" s="109" t="str">
        <f t="shared" si="12"/>
        <v>&lt;0.1</v>
      </c>
      <c r="Q16" s="111" t="str">
        <f t="shared" si="13"/>
        <v>&lt;0.02</v>
      </c>
      <c r="R16" s="108">
        <f t="shared" si="14"/>
        <v>3.6</v>
      </c>
      <c r="S16" s="108">
        <f t="shared" si="15"/>
        <v>1.3</v>
      </c>
      <c r="T16" s="109">
        <f t="shared" si="16"/>
        <v>18</v>
      </c>
      <c r="U16" s="109">
        <f t="shared" si="17"/>
        <v>35</v>
      </c>
      <c r="V16" s="110">
        <f t="shared" si="18"/>
        <v>7.22</v>
      </c>
      <c r="W16" s="109">
        <f t="shared" si="19"/>
        <v>3300</v>
      </c>
      <c r="X16" s="108">
        <f t="shared" si="20"/>
        <v>2.8</v>
      </c>
      <c r="Y16" s="108" t="str">
        <f t="shared" si="21"/>
        <v>&lt;2</v>
      </c>
      <c r="Z16" s="110" t="str">
        <f t="shared" si="22"/>
        <v>&lt;2</v>
      </c>
      <c r="AA16" s="110" t="str">
        <f t="shared" si="23"/>
        <v>&lt;2</v>
      </c>
      <c r="AB16" s="108" t="str">
        <f t="shared" si="24"/>
        <v>&lt;1</v>
      </c>
      <c r="AC16" s="108" t="str">
        <f t="shared" si="25"/>
        <v>&lt;5</v>
      </c>
      <c r="AD16" s="106">
        <f t="shared" si="26"/>
        <v>360</v>
      </c>
      <c r="AE16" s="106">
        <f t="shared" si="27"/>
        <v>13</v>
      </c>
      <c r="AF16" s="109">
        <f t="shared" si="28"/>
        <v>879</v>
      </c>
      <c r="AG16" s="106">
        <f t="shared" si="29"/>
        <v>6.3E-2</v>
      </c>
      <c r="AH16" s="109">
        <f t="shared" si="30"/>
        <v>960</v>
      </c>
      <c r="AI16" s="109">
        <f t="shared" si="31"/>
        <v>2000</v>
      </c>
      <c r="AJ16" s="106">
        <f t="shared" si="32"/>
        <v>9.1999999999999993</v>
      </c>
      <c r="AK16" s="106" t="str">
        <f t="shared" si="33"/>
        <v>&lt;0.2</v>
      </c>
      <c r="AL16" s="106">
        <f t="shared" si="34"/>
        <v>3.4</v>
      </c>
      <c r="AM16" s="106">
        <f t="shared" si="35"/>
        <v>0.42</v>
      </c>
      <c r="AN16" s="111">
        <f t="shared" si="36"/>
        <v>0.66</v>
      </c>
      <c r="AO16" s="106" t="str">
        <f t="shared" si="37"/>
        <v>&lt;0.02</v>
      </c>
      <c r="AP16" s="111" t="s">
        <v>249</v>
      </c>
      <c r="AQ16" s="106">
        <f t="shared" si="38"/>
        <v>2.2999999999999998</v>
      </c>
      <c r="AR16" s="109">
        <f t="shared" si="39"/>
        <v>350</v>
      </c>
      <c r="AS16" s="109">
        <f t="shared" si="40"/>
        <v>85</v>
      </c>
      <c r="AT16" s="109" t="str">
        <f t="shared" si="41"/>
        <v>&lt;0.05</v>
      </c>
      <c r="AU16" s="109">
        <f t="shared" si="42"/>
        <v>13</v>
      </c>
      <c r="AV16" s="110" t="str">
        <f t="shared" si="43"/>
        <v>&lt;0.2</v>
      </c>
      <c r="AW16" s="109">
        <f t="shared" si="44"/>
        <v>14</v>
      </c>
      <c r="AX16" s="108" t="str">
        <f t="shared" si="45"/>
        <v>&lt;0.2</v>
      </c>
      <c r="AY16" s="231" t="str">
        <f t="shared" si="46"/>
        <v>&lt;10</v>
      </c>
      <c r="AZ16" s="223">
        <v>1857004</v>
      </c>
      <c r="BA16" s="106" t="str">
        <f t="shared" si="47"/>
        <v>&lt;0.2</v>
      </c>
      <c r="BB16" s="112">
        <f t="shared" si="48"/>
        <v>3</v>
      </c>
      <c r="BC16" s="111">
        <f t="shared" si="49"/>
        <v>0.2</v>
      </c>
      <c r="BD16" s="111" t="str">
        <f t="shared" si="50"/>
        <v>&lt;0.2</v>
      </c>
      <c r="BE16" s="106" t="str">
        <f t="shared" si="51"/>
        <v>&lt;0.02</v>
      </c>
      <c r="BF16" s="111" t="s">
        <v>254</v>
      </c>
      <c r="BG16" s="106">
        <f t="shared" si="52"/>
        <v>1.3</v>
      </c>
      <c r="BH16" s="109" t="str">
        <f t="shared" si="53"/>
        <v>&lt;20</v>
      </c>
      <c r="BI16" s="109">
        <f t="shared" si="54"/>
        <v>47</v>
      </c>
      <c r="BJ16" s="109" t="str">
        <f t="shared" si="55"/>
        <v>&lt;0.05</v>
      </c>
      <c r="BK16" s="231">
        <f t="shared" si="56"/>
        <v>12</v>
      </c>
      <c r="BL16" s="110" t="str">
        <f t="shared" si="57"/>
        <v>&lt;0.2</v>
      </c>
      <c r="BM16" s="109">
        <f t="shared" si="58"/>
        <v>13</v>
      </c>
      <c r="BN16" s="110" t="str">
        <f t="shared" si="59"/>
        <v>&lt;0.2</v>
      </c>
      <c r="BO16" s="113" t="str">
        <f t="shared" si="60"/>
        <v>&lt;10</v>
      </c>
    </row>
    <row r="17" spans="1:67" ht="27" customHeight="1" x14ac:dyDescent="0.4">
      <c r="A17" s="266" t="s">
        <v>113</v>
      </c>
      <c r="B17" s="106" t="str">
        <f t="shared" si="0"/>
        <v>County of Orange</v>
      </c>
      <c r="C17" s="223">
        <v>1857002</v>
      </c>
      <c r="D17" s="107">
        <f t="shared" si="1"/>
        <v>44448.417361111111</v>
      </c>
      <c r="E17" s="107"/>
      <c r="F17" s="108">
        <f t="shared" si="2"/>
        <v>1.57</v>
      </c>
      <c r="G17" s="108">
        <f t="shared" si="3"/>
        <v>7.41</v>
      </c>
      <c r="H17" s="109">
        <f t="shared" si="4"/>
        <v>2779.7</v>
      </c>
      <c r="I17" s="110">
        <f t="shared" si="5"/>
        <v>8.44</v>
      </c>
      <c r="J17" s="110">
        <f t="shared" si="6"/>
        <v>21.75</v>
      </c>
      <c r="K17" s="109">
        <f t="shared" si="7"/>
        <v>6000</v>
      </c>
      <c r="L17" s="109">
        <f t="shared" si="8"/>
        <v>7800</v>
      </c>
      <c r="M17" s="109">
        <f t="shared" si="9"/>
        <v>8900</v>
      </c>
      <c r="N17" s="109" t="str">
        <f t="shared" si="10"/>
        <v>&gt;=32000</v>
      </c>
      <c r="O17" s="110">
        <f t="shared" si="11"/>
        <v>0.11</v>
      </c>
      <c r="P17" s="109" t="str">
        <f t="shared" si="12"/>
        <v>&lt;0.1</v>
      </c>
      <c r="Q17" s="111">
        <f t="shared" si="13"/>
        <v>0.32</v>
      </c>
      <c r="R17" s="108">
        <f t="shared" si="14"/>
        <v>2.8</v>
      </c>
      <c r="S17" s="108">
        <f t="shared" si="15"/>
        <v>1.5</v>
      </c>
      <c r="T17" s="109" t="str">
        <f t="shared" si="16"/>
        <v>&lt;5.6</v>
      </c>
      <c r="U17" s="108">
        <f t="shared" si="17"/>
        <v>1.2</v>
      </c>
      <c r="V17" s="110">
        <f t="shared" si="18"/>
        <v>7.67</v>
      </c>
      <c r="W17" s="109">
        <f t="shared" si="19"/>
        <v>3300</v>
      </c>
      <c r="X17" s="108">
        <f t="shared" si="20"/>
        <v>0.96</v>
      </c>
      <c r="Y17" s="108" t="str">
        <f t="shared" si="21"/>
        <v>&lt;2</v>
      </c>
      <c r="Z17" s="110" t="str">
        <f t="shared" si="22"/>
        <v>&lt;2</v>
      </c>
      <c r="AA17" s="110" t="str">
        <f t="shared" si="23"/>
        <v>&lt;2</v>
      </c>
      <c r="AB17" s="108" t="str">
        <f t="shared" si="24"/>
        <v>&lt;1</v>
      </c>
      <c r="AC17" s="108" t="str">
        <f t="shared" si="25"/>
        <v>&lt;5</v>
      </c>
      <c r="AD17" s="106">
        <f t="shared" si="26"/>
        <v>400</v>
      </c>
      <c r="AE17" s="106">
        <f t="shared" si="27"/>
        <v>9.6999999999999993</v>
      </c>
      <c r="AF17" s="109">
        <f t="shared" si="28"/>
        <v>832</v>
      </c>
      <c r="AG17" s="106" t="str">
        <f t="shared" si="29"/>
        <v>&lt;0.05</v>
      </c>
      <c r="AH17" s="109">
        <f t="shared" si="30"/>
        <v>860</v>
      </c>
      <c r="AI17" s="109">
        <f t="shared" si="31"/>
        <v>2000</v>
      </c>
      <c r="AJ17" s="106">
        <f t="shared" si="32"/>
        <v>8.1999999999999993</v>
      </c>
      <c r="AK17" s="106" t="str">
        <f t="shared" si="33"/>
        <v>&lt;0.2</v>
      </c>
      <c r="AL17" s="106">
        <f t="shared" si="34"/>
        <v>2.2000000000000002</v>
      </c>
      <c r="AM17" s="106">
        <f t="shared" si="35"/>
        <v>1.8</v>
      </c>
      <c r="AN17" s="112">
        <f t="shared" si="36"/>
        <v>2</v>
      </c>
      <c r="AO17" s="106">
        <f t="shared" si="37"/>
        <v>1.6</v>
      </c>
      <c r="AP17" s="111">
        <f t="shared" si="61"/>
        <v>0.39999999999999991</v>
      </c>
      <c r="AQ17" s="106">
        <f t="shared" si="38"/>
        <v>7.2</v>
      </c>
      <c r="AR17" s="109">
        <f t="shared" si="39"/>
        <v>64</v>
      </c>
      <c r="AS17" s="109">
        <f t="shared" si="40"/>
        <v>68</v>
      </c>
      <c r="AT17" s="109" t="str">
        <f t="shared" si="41"/>
        <v>&lt;0.05</v>
      </c>
      <c r="AU17" s="109">
        <f t="shared" si="42"/>
        <v>16</v>
      </c>
      <c r="AV17" s="110" t="str">
        <f t="shared" si="43"/>
        <v>&lt;0.2</v>
      </c>
      <c r="AW17" s="108">
        <f t="shared" si="44"/>
        <v>5.4</v>
      </c>
      <c r="AX17" s="108" t="str">
        <f t="shared" si="45"/>
        <v>&lt;0.2</v>
      </c>
      <c r="AY17" s="231">
        <f t="shared" si="46"/>
        <v>10</v>
      </c>
      <c r="AZ17" s="223">
        <v>1857005</v>
      </c>
      <c r="BA17" s="106" t="str">
        <f t="shared" si="47"/>
        <v>&lt;0.2</v>
      </c>
      <c r="BB17" s="106">
        <f t="shared" si="48"/>
        <v>2.2999999999999998</v>
      </c>
      <c r="BC17" s="111">
        <f t="shared" si="49"/>
        <v>0.9</v>
      </c>
      <c r="BD17" s="111">
        <f t="shared" si="50"/>
        <v>1.9</v>
      </c>
      <c r="BE17" s="106">
        <f t="shared" si="51"/>
        <v>1.8</v>
      </c>
      <c r="BF17" s="111">
        <f t="shared" si="62"/>
        <v>9.9999999999999867E-2</v>
      </c>
      <c r="BG17" s="106">
        <f t="shared" si="52"/>
        <v>4.0999999999999996</v>
      </c>
      <c r="BH17" s="109" t="str">
        <f t="shared" si="53"/>
        <v>&lt;20</v>
      </c>
      <c r="BI17" s="109">
        <f t="shared" si="54"/>
        <v>61</v>
      </c>
      <c r="BJ17" s="109" t="str">
        <f t="shared" si="55"/>
        <v>&lt;0.05</v>
      </c>
      <c r="BK17" s="231">
        <f t="shared" si="56"/>
        <v>16</v>
      </c>
      <c r="BL17" s="110">
        <f t="shared" si="57"/>
        <v>0.2</v>
      </c>
      <c r="BM17" s="108">
        <f t="shared" si="58"/>
        <v>5.3</v>
      </c>
      <c r="BN17" s="110" t="str">
        <f t="shared" si="59"/>
        <v>&lt;0.2</v>
      </c>
      <c r="BO17" s="113" t="str">
        <f t="shared" si="60"/>
        <v>&lt;10</v>
      </c>
    </row>
    <row r="18" spans="1:67" ht="27" customHeight="1" x14ac:dyDescent="0.4">
      <c r="A18" s="266" t="s">
        <v>115</v>
      </c>
      <c r="B18" s="106" t="str">
        <f t="shared" si="0"/>
        <v>County of Orange</v>
      </c>
      <c r="C18" s="223">
        <v>1857003</v>
      </c>
      <c r="D18" s="107">
        <f t="shared" si="1"/>
        <v>44448.486111111109</v>
      </c>
      <c r="E18" s="107"/>
      <c r="F18" s="108">
        <f t="shared" si="2"/>
        <v>1.27</v>
      </c>
      <c r="G18" s="108">
        <f t="shared" si="3"/>
        <v>6.64</v>
      </c>
      <c r="H18" s="109">
        <f t="shared" si="4"/>
        <v>2577.5</v>
      </c>
      <c r="I18" s="110">
        <f t="shared" si="5"/>
        <v>7.7</v>
      </c>
      <c r="J18" s="110">
        <f t="shared" si="6"/>
        <v>23.55</v>
      </c>
      <c r="K18" s="109">
        <f t="shared" si="7"/>
        <v>1860</v>
      </c>
      <c r="L18" s="109">
        <f t="shared" si="8"/>
        <v>3000</v>
      </c>
      <c r="M18" s="109">
        <f t="shared" si="9"/>
        <v>2300</v>
      </c>
      <c r="N18" s="109" t="str">
        <f t="shared" si="10"/>
        <v>&gt;=6600</v>
      </c>
      <c r="O18" s="110" t="str">
        <f t="shared" si="11"/>
        <v>&lt;0.1</v>
      </c>
      <c r="P18" s="109" t="str">
        <f t="shared" si="12"/>
        <v>&lt;0.1</v>
      </c>
      <c r="Q18" s="111">
        <f t="shared" si="13"/>
        <v>0.32</v>
      </c>
      <c r="R18" s="108">
        <f t="shared" si="14"/>
        <v>1</v>
      </c>
      <c r="S18" s="108">
        <f t="shared" si="15"/>
        <v>1.4</v>
      </c>
      <c r="T18" s="109" t="str">
        <f t="shared" si="16"/>
        <v>&lt;5.6</v>
      </c>
      <c r="U18" s="110">
        <f t="shared" si="17"/>
        <v>0.9</v>
      </c>
      <c r="V18" s="110">
        <f t="shared" si="18"/>
        <v>7.3</v>
      </c>
      <c r="W18" s="109">
        <f t="shared" si="19"/>
        <v>3100</v>
      </c>
      <c r="X18" s="108">
        <f t="shared" si="20"/>
        <v>0.97</v>
      </c>
      <c r="Y18" s="108" t="str">
        <f t="shared" si="21"/>
        <v>&lt;2</v>
      </c>
      <c r="Z18" s="110" t="str">
        <f t="shared" si="22"/>
        <v>&lt;2</v>
      </c>
      <c r="AA18" s="110" t="str">
        <f t="shared" si="23"/>
        <v>&lt;2</v>
      </c>
      <c r="AB18" s="108" t="str">
        <f t="shared" si="24"/>
        <v>&lt;1</v>
      </c>
      <c r="AC18" s="108" t="str">
        <f t="shared" si="25"/>
        <v>&lt;5</v>
      </c>
      <c r="AD18" s="106">
        <f t="shared" si="26"/>
        <v>360</v>
      </c>
      <c r="AE18" s="106">
        <f t="shared" si="27"/>
        <v>8.9</v>
      </c>
      <c r="AF18" s="109">
        <f t="shared" si="28"/>
        <v>909</v>
      </c>
      <c r="AG18" s="106">
        <f t="shared" si="29"/>
        <v>0.05</v>
      </c>
      <c r="AH18" s="109">
        <f t="shared" si="30"/>
        <v>760</v>
      </c>
      <c r="AI18" s="109">
        <f t="shared" si="31"/>
        <v>1900</v>
      </c>
      <c r="AJ18" s="106">
        <f t="shared" si="32"/>
        <v>9.4</v>
      </c>
      <c r="AK18" s="106" t="str">
        <f t="shared" si="33"/>
        <v>&lt;0.2</v>
      </c>
      <c r="AL18" s="106">
        <f t="shared" si="34"/>
        <v>2.8</v>
      </c>
      <c r="AM18" s="112">
        <f t="shared" si="35"/>
        <v>1</v>
      </c>
      <c r="AN18" s="111">
        <f t="shared" si="36"/>
        <v>0.31</v>
      </c>
      <c r="AO18" s="106" t="str">
        <f t="shared" si="37"/>
        <v>&lt;0.02</v>
      </c>
      <c r="AP18" s="111" t="s">
        <v>252</v>
      </c>
      <c r="AQ18" s="106">
        <f t="shared" si="38"/>
        <v>3.4</v>
      </c>
      <c r="AR18" s="109">
        <f t="shared" si="39"/>
        <v>54</v>
      </c>
      <c r="AS18" s="109">
        <f t="shared" si="40"/>
        <v>150</v>
      </c>
      <c r="AT18" s="109" t="str">
        <f t="shared" si="41"/>
        <v>&lt;0.05</v>
      </c>
      <c r="AU18" s="108">
        <f t="shared" si="42"/>
        <v>7.2</v>
      </c>
      <c r="AV18" s="110" t="str">
        <f t="shared" si="43"/>
        <v>&lt;0.2</v>
      </c>
      <c r="AW18" s="109">
        <f t="shared" si="44"/>
        <v>21</v>
      </c>
      <c r="AX18" s="108" t="str">
        <f t="shared" si="45"/>
        <v>&lt;0.2</v>
      </c>
      <c r="AY18" s="231">
        <f t="shared" si="46"/>
        <v>13</v>
      </c>
      <c r="AZ18" s="223">
        <v>1857006</v>
      </c>
      <c r="BA18" s="106" t="str">
        <f t="shared" si="47"/>
        <v>&lt;0.2</v>
      </c>
      <c r="BB18" s="106">
        <f t="shared" si="48"/>
        <v>2.9</v>
      </c>
      <c r="BC18" s="111">
        <f t="shared" si="49"/>
        <v>0.86</v>
      </c>
      <c r="BD18" s="111" t="str">
        <f t="shared" si="50"/>
        <v>&lt;0.2</v>
      </c>
      <c r="BE18" s="106">
        <f t="shared" si="51"/>
        <v>6.2E-2</v>
      </c>
      <c r="BF18" s="111" t="s">
        <v>254</v>
      </c>
      <c r="BG18" s="112">
        <f t="shared" si="52"/>
        <v>3</v>
      </c>
      <c r="BH18" s="109" t="str">
        <f t="shared" si="53"/>
        <v>&lt;20</v>
      </c>
      <c r="BI18" s="109">
        <f t="shared" si="54"/>
        <v>150</v>
      </c>
      <c r="BJ18" s="109" t="str">
        <f t="shared" si="55"/>
        <v>&lt;0.05</v>
      </c>
      <c r="BK18" s="112">
        <f t="shared" si="56"/>
        <v>7.3</v>
      </c>
      <c r="BL18" s="110" t="str">
        <f t="shared" si="57"/>
        <v>&lt;0.2</v>
      </c>
      <c r="BM18" s="109">
        <f t="shared" si="58"/>
        <v>21</v>
      </c>
      <c r="BN18" s="110" t="str">
        <f t="shared" si="59"/>
        <v>&lt;0.2</v>
      </c>
      <c r="BO18" s="113">
        <f t="shared" si="60"/>
        <v>12</v>
      </c>
    </row>
    <row r="19" spans="1:67" s="119" customFormat="1" ht="27" customHeight="1" x14ac:dyDescent="0.4">
      <c r="A19" s="266" t="s">
        <v>116</v>
      </c>
      <c r="B19" s="115" t="str">
        <f t="shared" si="0"/>
        <v>Dana Point</v>
      </c>
      <c r="C19" s="223">
        <v>1913002</v>
      </c>
      <c r="D19" s="107">
        <f t="shared" si="1"/>
        <v>44440.357638888891</v>
      </c>
      <c r="E19" s="118"/>
      <c r="F19" s="108">
        <f t="shared" si="2"/>
        <v>8.23</v>
      </c>
      <c r="G19" s="108">
        <f t="shared" si="3"/>
        <v>8.1300000000000008</v>
      </c>
      <c r="H19" s="109">
        <f t="shared" si="4"/>
        <v>1320</v>
      </c>
      <c r="I19" s="110">
        <f t="shared" si="5"/>
        <v>8.75</v>
      </c>
      <c r="J19" s="110">
        <f t="shared" si="6"/>
        <v>21.3</v>
      </c>
      <c r="K19" s="109">
        <f t="shared" si="7"/>
        <v>10000</v>
      </c>
      <c r="L19" s="109">
        <f t="shared" si="8"/>
        <v>30000</v>
      </c>
      <c r="M19" s="109" t="str">
        <f t="shared" si="9"/>
        <v>&gt;=9100</v>
      </c>
      <c r="N19" s="109" t="str">
        <f t="shared" si="10"/>
        <v>&gt;=3e+06</v>
      </c>
      <c r="O19" s="110" t="str">
        <f t="shared" si="11"/>
        <v>&lt;0.1</v>
      </c>
      <c r="P19" s="110">
        <f t="shared" si="12"/>
        <v>0.69</v>
      </c>
      <c r="Q19" s="111">
        <f t="shared" si="13"/>
        <v>0.4</v>
      </c>
      <c r="R19" s="108">
        <f t="shared" si="14"/>
        <v>2.1</v>
      </c>
      <c r="S19" s="108">
        <f t="shared" si="15"/>
        <v>2.4</v>
      </c>
      <c r="T19" s="109">
        <f t="shared" si="16"/>
        <v>10</v>
      </c>
      <c r="U19" s="109">
        <f t="shared" si="17"/>
        <v>17</v>
      </c>
      <c r="V19" s="110">
        <f t="shared" si="18"/>
        <v>8.07</v>
      </c>
      <c r="W19" s="109">
        <f t="shared" si="19"/>
        <v>1500</v>
      </c>
      <c r="X19" s="108">
        <f t="shared" si="20"/>
        <v>6.9</v>
      </c>
      <c r="Y19" s="108" t="str">
        <f t="shared" si="21"/>
        <v>&lt;2</v>
      </c>
      <c r="Z19" s="110" t="str">
        <f t="shared" si="22"/>
        <v>&lt;2</v>
      </c>
      <c r="AA19" s="110" t="str">
        <f t="shared" si="23"/>
        <v>&lt;2</v>
      </c>
      <c r="AB19" s="108" t="str">
        <f t="shared" si="24"/>
        <v>&lt;1</v>
      </c>
      <c r="AC19" s="108">
        <f t="shared" si="25"/>
        <v>5.31</v>
      </c>
      <c r="AD19" s="106">
        <f t="shared" si="26"/>
        <v>200</v>
      </c>
      <c r="AE19" s="106">
        <f t="shared" si="27"/>
        <v>11</v>
      </c>
      <c r="AF19" s="109">
        <f t="shared" si="28"/>
        <v>333</v>
      </c>
      <c r="AG19" s="106">
        <f t="shared" si="29"/>
        <v>8.8999999999999996E-2</v>
      </c>
      <c r="AH19" s="109">
        <f t="shared" si="30"/>
        <v>230</v>
      </c>
      <c r="AI19" s="109">
        <f t="shared" si="31"/>
        <v>740</v>
      </c>
      <c r="AJ19" s="106">
        <f t="shared" si="32"/>
        <v>12</v>
      </c>
      <c r="AK19" s="106" t="str">
        <f t="shared" si="33"/>
        <v>&lt;0.2</v>
      </c>
      <c r="AL19" s="106">
        <f t="shared" si="34"/>
        <v>3.4</v>
      </c>
      <c r="AM19" s="106">
        <f t="shared" si="35"/>
        <v>0.25</v>
      </c>
      <c r="AN19" s="112">
        <f t="shared" si="36"/>
        <v>1</v>
      </c>
      <c r="AO19" s="106">
        <f t="shared" si="37"/>
        <v>3.4000000000000002E-2</v>
      </c>
      <c r="AP19" s="111">
        <f t="shared" si="61"/>
        <v>0.96599999999999997</v>
      </c>
      <c r="AQ19" s="106">
        <f t="shared" si="38"/>
        <v>31</v>
      </c>
      <c r="AR19" s="109">
        <f t="shared" si="39"/>
        <v>740</v>
      </c>
      <c r="AS19" s="109">
        <f t="shared" si="40"/>
        <v>42</v>
      </c>
      <c r="AT19" s="109" t="str">
        <f t="shared" si="41"/>
        <v>&lt;0.05</v>
      </c>
      <c r="AU19" s="108">
        <f t="shared" si="42"/>
        <v>4.5</v>
      </c>
      <c r="AV19" s="108">
        <f t="shared" si="43"/>
        <v>1.2</v>
      </c>
      <c r="AW19" s="110">
        <f t="shared" si="44"/>
        <v>0.41</v>
      </c>
      <c r="AX19" s="108" t="str">
        <f t="shared" si="45"/>
        <v>&lt;0.2</v>
      </c>
      <c r="AY19" s="231">
        <f t="shared" si="46"/>
        <v>110</v>
      </c>
      <c r="AZ19" s="223">
        <v>1913004</v>
      </c>
      <c r="BA19" s="106" t="str">
        <f t="shared" si="47"/>
        <v>&lt;0.2</v>
      </c>
      <c r="BB19" s="106">
        <f t="shared" si="48"/>
        <v>2.6</v>
      </c>
      <c r="BC19" s="111" t="str">
        <f t="shared" si="49"/>
        <v>&lt;0.2</v>
      </c>
      <c r="BD19" s="111">
        <f t="shared" si="50"/>
        <v>0.35</v>
      </c>
      <c r="BE19" s="106">
        <f t="shared" si="51"/>
        <v>4.3999999999999997E-2</v>
      </c>
      <c r="BF19" s="111">
        <f t="shared" si="62"/>
        <v>0.30599999999999999</v>
      </c>
      <c r="BG19" s="106">
        <f t="shared" si="52"/>
        <v>4.9000000000000004</v>
      </c>
      <c r="BH19" s="109">
        <f t="shared" si="53"/>
        <v>110</v>
      </c>
      <c r="BI19" s="109">
        <f t="shared" si="54"/>
        <v>20</v>
      </c>
      <c r="BJ19" s="109" t="str">
        <f t="shared" si="55"/>
        <v>&lt;0.05</v>
      </c>
      <c r="BK19" s="112">
        <f t="shared" si="56"/>
        <v>3.4</v>
      </c>
      <c r="BL19" s="110" t="str">
        <f t="shared" si="57"/>
        <v>&lt;0.2</v>
      </c>
      <c r="BM19" s="108" t="str">
        <f t="shared" si="58"/>
        <v>&lt;0.4</v>
      </c>
      <c r="BN19" s="110" t="str">
        <f t="shared" si="59"/>
        <v>&lt;0.2</v>
      </c>
      <c r="BO19" s="113">
        <f t="shared" si="60"/>
        <v>23</v>
      </c>
    </row>
    <row r="20" spans="1:67" s="119" customFormat="1" ht="27" customHeight="1" x14ac:dyDescent="0.4">
      <c r="A20" s="105" t="s">
        <v>117</v>
      </c>
      <c r="B20" s="115" t="str">
        <f t="shared" si="0"/>
        <v>Dana Point</v>
      </c>
      <c r="C20" s="223"/>
      <c r="D20" s="107">
        <v>44440.40625</v>
      </c>
      <c r="E20" s="118" t="s">
        <v>169</v>
      </c>
      <c r="F20" s="271"/>
      <c r="G20" s="271"/>
      <c r="H20" s="272"/>
      <c r="I20" s="273"/>
      <c r="J20" s="273"/>
      <c r="K20" s="272"/>
      <c r="L20" s="272"/>
      <c r="M20" s="272"/>
      <c r="N20" s="272"/>
      <c r="O20" s="273"/>
      <c r="P20" s="273"/>
      <c r="Q20" s="274"/>
      <c r="R20" s="271"/>
      <c r="S20" s="271"/>
      <c r="T20" s="272"/>
      <c r="U20" s="272"/>
      <c r="V20" s="273"/>
      <c r="W20" s="272"/>
      <c r="X20" s="271"/>
      <c r="Y20" s="271"/>
      <c r="Z20" s="273"/>
      <c r="AA20" s="273"/>
      <c r="AB20" s="271"/>
      <c r="AC20" s="271"/>
      <c r="AD20" s="275"/>
      <c r="AE20" s="275"/>
      <c r="AF20" s="272"/>
      <c r="AG20" s="275"/>
      <c r="AH20" s="272"/>
      <c r="AI20" s="272"/>
      <c r="AJ20" s="275"/>
      <c r="AK20" s="275"/>
      <c r="AL20" s="275"/>
      <c r="AM20" s="275"/>
      <c r="AN20" s="277"/>
      <c r="AO20" s="275"/>
      <c r="AP20" s="274"/>
      <c r="AQ20" s="275"/>
      <c r="AR20" s="272"/>
      <c r="AS20" s="272"/>
      <c r="AT20" s="272"/>
      <c r="AU20" s="271"/>
      <c r="AV20" s="271"/>
      <c r="AW20" s="273"/>
      <c r="AX20" s="271"/>
      <c r="AY20" s="276"/>
      <c r="AZ20" s="331"/>
      <c r="BA20" s="275"/>
      <c r="BB20" s="275"/>
      <c r="BC20" s="274"/>
      <c r="BD20" s="274"/>
      <c r="BE20" s="275"/>
      <c r="BF20" s="274"/>
      <c r="BG20" s="275"/>
      <c r="BH20" s="272"/>
      <c r="BI20" s="272"/>
      <c r="BJ20" s="272"/>
      <c r="BK20" s="277"/>
      <c r="BL20" s="273"/>
      <c r="BM20" s="271"/>
      <c r="BN20" s="273"/>
      <c r="BO20" s="278"/>
    </row>
    <row r="21" spans="1:67" s="119" customFormat="1" ht="27" customHeight="1" x14ac:dyDescent="0.4">
      <c r="A21" s="266" t="s">
        <v>119</v>
      </c>
      <c r="B21" s="106" t="str">
        <f t="shared" si="0"/>
        <v>Laguna Beach</v>
      </c>
      <c r="C21" s="223">
        <v>1912001</v>
      </c>
      <c r="D21" s="107">
        <f t="shared" ref="D21:D28" si="63">VLOOKUP(C21,WaterQuality, 2, FALSE)</f>
        <v>44440.388194444444</v>
      </c>
      <c r="E21" s="107"/>
      <c r="F21" s="108">
        <f t="shared" ref="F21:F28" si="64">VLOOKUP($C21, WaterQuality, 119, FALSE)</f>
        <v>0.97</v>
      </c>
      <c r="G21" s="108">
        <f t="shared" ref="G21:G28" si="65">VLOOKUP($C21, WaterQuality, 115, FALSE)</f>
        <v>8.01</v>
      </c>
      <c r="H21" s="109">
        <f t="shared" ref="H21:H28" si="66">VLOOKUP($C21, WaterQuality, 117, FALSE)</f>
        <v>10804</v>
      </c>
      <c r="I21" s="110">
        <f t="shared" ref="I21:I28" si="67">VLOOKUP($C21, WaterQuality, 116, FALSE)</f>
        <v>7.4</v>
      </c>
      <c r="J21" s="110">
        <f t="shared" ref="J21:J28" si="68">VLOOKUP($C21, WaterQuality, 118, FALSE)</f>
        <v>20.57</v>
      </c>
      <c r="K21" s="109">
        <f t="shared" ref="K21:K28" si="69">VLOOKUP($C21, WaterQuality, 112, FALSE)</f>
        <v>40</v>
      </c>
      <c r="L21" s="109">
        <f t="shared" ref="L21:L28" si="70">VLOOKUP($C21,WaterQuality, 111, FALSE)</f>
        <v>1420</v>
      </c>
      <c r="M21" s="109">
        <f t="shared" ref="M21:M28" si="71">VLOOKUP($C21,WaterQuality, 113, FALSE)</f>
        <v>20</v>
      </c>
      <c r="N21" s="109" t="str">
        <f t="shared" ref="N21:N28" si="72">VLOOKUP($C21,WaterQuality, 114, FALSE)</f>
        <v>&gt;=2800</v>
      </c>
      <c r="O21" s="110" t="str">
        <f t="shared" ref="O21:O28" si="73">VLOOKUP($C21,WaterQuality, 97, FALSE)</f>
        <v>&lt;0.1</v>
      </c>
      <c r="P21" s="109" t="str">
        <f t="shared" ref="P21:P28" si="74">VLOOKUP($C21,WaterQuality, 99, FALSE)</f>
        <v>&lt;0.1</v>
      </c>
      <c r="Q21" s="111">
        <f t="shared" ref="Q21:Q28" si="75">VLOOKUP($C21,WaterQuality, 101, FALSE)</f>
        <v>5.8999999999999997E-2</v>
      </c>
      <c r="R21" s="110">
        <f t="shared" ref="R21:R28" si="76">VLOOKUP($C21,WaterQuality, 100, FALSE)</f>
        <v>0.62</v>
      </c>
      <c r="S21" s="110">
        <f t="shared" ref="S21:S28" si="77">VLOOKUP($C21,WaterQuality, 103, FALSE)</f>
        <v>0.52</v>
      </c>
      <c r="T21" s="109" t="str">
        <f t="shared" ref="T21:T28" si="78">VLOOKUP($C21,WaterQuality, 108, FALSE)</f>
        <v>&lt;5.6</v>
      </c>
      <c r="U21" s="110">
        <f t="shared" ref="U21:U28" si="79">VLOOKUP($C21,WaterQuality, 109, FALSE)</f>
        <v>0.7</v>
      </c>
      <c r="V21" s="110">
        <f t="shared" ref="V21:V28" si="80">VLOOKUP($C21,WaterQuality, 102, FALSE)</f>
        <v>7.56</v>
      </c>
      <c r="W21" s="109">
        <f t="shared" ref="W21:W28" si="81">VLOOKUP($C21,WaterQuality, 104, FALSE)</f>
        <v>12000</v>
      </c>
      <c r="X21" s="110">
        <f t="shared" ref="X21:X28" si="82">VLOOKUP($C21,WaterQuality, 110, FALSE)</f>
        <v>0.92</v>
      </c>
      <c r="Y21" s="108" t="str">
        <f t="shared" ref="Y21:Y28" si="83">VLOOKUP($C21,WaterQuality, 14, FALSE)</f>
        <v>&lt;2</v>
      </c>
      <c r="Z21" s="110" t="str">
        <f t="shared" ref="Z21:Z28" si="84">VLOOKUP($C21,WaterQuality, 17, FALSE)</f>
        <v>&lt;2</v>
      </c>
      <c r="AA21" s="110" t="str">
        <f t="shared" ref="AA21:AA28" si="85">VLOOKUP($C21,WaterQuality, 44, FALSE)</f>
        <v>&lt;2</v>
      </c>
      <c r="AB21" s="108" t="str">
        <f t="shared" ref="AB21:AB28" si="86">VLOOKUP($C21,WaterQuality, 40, FALSE)</f>
        <v>&lt;1</v>
      </c>
      <c r="AC21" s="108" t="str">
        <f t="shared" ref="AC21:AC28" si="87">VLOOKUP($C21,WaterQuality, 26, FALSE)</f>
        <v>&lt;5</v>
      </c>
      <c r="AD21" s="106">
        <f t="shared" ref="AD21:AD28" si="88">VLOOKUP($C21,WaterQuality, 98, FALSE)</f>
        <v>2000</v>
      </c>
      <c r="AE21" s="106">
        <f t="shared" ref="AE21:AE28" si="89">VLOOKUP($C21,WaterQuality, 83, FALSE)</f>
        <v>7.6</v>
      </c>
      <c r="AF21" s="109">
        <f t="shared" ref="AF21:AF28" si="90">VLOOKUP($C21,WaterQuality, 84, FALSE)</f>
        <v>3800</v>
      </c>
      <c r="AG21" s="106">
        <f t="shared" ref="AG21:AG28" si="91">VLOOKUP($C21,WaterQuality, 89, FALSE)</f>
        <v>7.0999999999999994E-2</v>
      </c>
      <c r="AH21" s="109">
        <f t="shared" ref="AH21:AH28" si="92">VLOOKUP($C21,WaterQuality, 105, FALSE)</f>
        <v>3400</v>
      </c>
      <c r="AI21" s="109">
        <f t="shared" ref="AI21:AI28" si="93">VLOOKUP($C21,WaterQuality, 107, FALSE)</f>
        <v>7700</v>
      </c>
      <c r="AJ21" s="112">
        <f t="shared" ref="AJ21:AJ28" si="94">VLOOKUP($C21,WaterQuality, 95, FALSE)</f>
        <v>7</v>
      </c>
      <c r="AK21" s="106" t="str">
        <f t="shared" ref="AK21:AK28" si="95">VLOOKUP($C21,WaterQuality, 93, FALSE)</f>
        <v>&lt;0.2</v>
      </c>
      <c r="AL21" s="106">
        <f t="shared" ref="AL21:AL28" si="96">VLOOKUP($C21,WaterQuality, 77, FALSE)</f>
        <v>1.2</v>
      </c>
      <c r="AM21" s="106" t="str">
        <f t="shared" ref="AM21:AM28" si="97">VLOOKUP($C21,WaterQuality, 78, FALSE)</f>
        <v>&lt;0.2</v>
      </c>
      <c r="AN21" s="111">
        <f t="shared" ref="AN21:AN28" si="98">VLOOKUP($C21,WaterQuality, 81, FALSE)</f>
        <v>0.32</v>
      </c>
      <c r="AO21" s="106" t="str">
        <f t="shared" ref="AO21:AO28" si="99">VLOOKUP($C21,WaterQuality, 80, FALSE)</f>
        <v>&lt;0.02</v>
      </c>
      <c r="AP21" s="111" t="s">
        <v>253</v>
      </c>
      <c r="AQ21" s="106">
        <f t="shared" ref="AQ21:AQ28" si="100">VLOOKUP($C21,WaterQuality, 82, FALSE)</f>
        <v>1.1000000000000001</v>
      </c>
      <c r="AR21" s="109">
        <f t="shared" ref="AR21:AR28" si="101">VLOOKUP($C21,WaterQuality, 85, FALSE)</f>
        <v>200</v>
      </c>
      <c r="AS21" s="109">
        <f t="shared" ref="AS21:AS28" si="102">VLOOKUP($C21,WaterQuality, 88, FALSE)</f>
        <v>96</v>
      </c>
      <c r="AT21" s="109" t="str">
        <f t="shared" ref="AT21:AT28" si="103">VLOOKUP($C21,WaterQuality, 90, FALSE)</f>
        <v>&lt;0.05</v>
      </c>
      <c r="AU21" s="108">
        <f t="shared" ref="AU21:AU28" si="104">VLOOKUP($C21,WaterQuality, 91, FALSE)</f>
        <v>3.4</v>
      </c>
      <c r="AV21" s="110" t="str">
        <f t="shared" ref="AV21:AV28" si="105">VLOOKUP($C21,WaterQuality, 86, FALSE)</f>
        <v>&lt;0.2</v>
      </c>
      <c r="AW21" s="108">
        <f t="shared" ref="AW21:AW28" si="106">VLOOKUP($C21,WaterQuality, 92, FALSE)</f>
        <v>2</v>
      </c>
      <c r="AX21" s="108" t="str">
        <f t="shared" ref="AX21:AX28" si="107">VLOOKUP($C21,WaterQuality, 94, FALSE)</f>
        <v>&lt;0.2</v>
      </c>
      <c r="AY21" s="231" t="str">
        <f t="shared" ref="AY21:AY28" si="108">VLOOKUP($C21,WaterQuality, 96, FALSE)</f>
        <v>&lt;10</v>
      </c>
      <c r="AZ21" s="223">
        <v>1912003</v>
      </c>
      <c r="BA21" s="106" t="str">
        <f t="shared" ref="BA21:BA28" si="109">VLOOKUP($AZ21,WaterQuality, 93, FALSE)</f>
        <v>&lt;0.2</v>
      </c>
      <c r="BB21" s="106">
        <f t="shared" ref="BB21:BB28" si="110">VLOOKUP($AZ21,WaterQuality, 77, FALSE)</f>
        <v>1.1000000000000001</v>
      </c>
      <c r="BC21" s="111" t="str">
        <f t="shared" ref="BC21:BC28" si="111">VLOOKUP($AZ21,WaterQuality, 78, FALSE)</f>
        <v>&lt;0.2</v>
      </c>
      <c r="BD21" s="111" t="str">
        <f t="shared" ref="BD21:BD28" si="112">VLOOKUP($AZ21,WaterQuality, 81, FALSE)</f>
        <v>&lt;0.2</v>
      </c>
      <c r="BE21" s="106" t="str">
        <f t="shared" ref="BE21:BE28" si="113">VLOOKUP($AZ21,WaterQuality, 80, FALSE)</f>
        <v>&lt;0.02</v>
      </c>
      <c r="BF21" s="111" t="s">
        <v>254</v>
      </c>
      <c r="BG21" s="106">
        <f t="shared" ref="BG21:BG28" si="114">VLOOKUP($AZ21,WaterQuality, 82, FALSE)</f>
        <v>1.1000000000000001</v>
      </c>
      <c r="BH21" s="109">
        <f t="shared" ref="BH21:BH28" si="115">VLOOKUP($AZ21,WaterQuality, 85, FALSE)</f>
        <v>38</v>
      </c>
      <c r="BI21" s="109">
        <f t="shared" ref="BI21:BI28" si="116">VLOOKUP($AZ21,WaterQuality, 88, FALSE)</f>
        <v>89</v>
      </c>
      <c r="BJ21" s="109" t="str">
        <f t="shared" ref="BJ21:BJ28" si="117">VLOOKUP($AZ21,WaterQuality, 90, FALSE)</f>
        <v>&lt;0.05</v>
      </c>
      <c r="BK21" s="112">
        <f t="shared" ref="BK21:BK28" si="118">VLOOKUP($AZ21,WaterQuality, 91, FALSE)</f>
        <v>3.6</v>
      </c>
      <c r="BL21" s="110" t="str">
        <f t="shared" ref="BL21:BL28" si="119">VLOOKUP($AZ21,WaterQuality, 86, FALSE)</f>
        <v>&lt;0.2</v>
      </c>
      <c r="BM21" s="108">
        <f t="shared" ref="BM21:BM28" si="120">VLOOKUP($AZ21,WaterQuality, 92, FALSE)</f>
        <v>2</v>
      </c>
      <c r="BN21" s="110" t="str">
        <f t="shared" ref="BN21:BN28" si="121">VLOOKUP($AZ21,WaterQuality, 94, FALSE)</f>
        <v>&lt;0.2</v>
      </c>
      <c r="BO21" s="113" t="str">
        <f t="shared" ref="BO21:BO28" si="122">VLOOKUP($AZ21,WaterQuality, 96, FALSE)</f>
        <v>&lt;10</v>
      </c>
    </row>
    <row r="22" spans="1:67" ht="27" customHeight="1" x14ac:dyDescent="0.4">
      <c r="A22" s="266" t="s">
        <v>123</v>
      </c>
      <c r="B22" s="106" t="str">
        <f t="shared" si="0"/>
        <v>Laguna Beach</v>
      </c>
      <c r="C22" s="223">
        <v>1912002</v>
      </c>
      <c r="D22" s="107">
        <f t="shared" si="63"/>
        <v>44440.431944444441</v>
      </c>
      <c r="E22" s="107"/>
      <c r="F22" s="108">
        <f t="shared" si="64"/>
        <v>0.56999999999999995</v>
      </c>
      <c r="G22" s="108">
        <f t="shared" si="65"/>
        <v>7.46</v>
      </c>
      <c r="H22" s="109">
        <f t="shared" si="66"/>
        <v>7011.65</v>
      </c>
      <c r="I22" s="110">
        <f t="shared" si="67"/>
        <v>7.83</v>
      </c>
      <c r="J22" s="110">
        <f t="shared" si="68"/>
        <v>22.75</v>
      </c>
      <c r="K22" s="109" t="str">
        <f t="shared" si="69"/>
        <v>&gt;=600</v>
      </c>
      <c r="L22" s="109">
        <f t="shared" si="70"/>
        <v>2800</v>
      </c>
      <c r="M22" s="109">
        <f t="shared" si="71"/>
        <v>680</v>
      </c>
      <c r="N22" s="109" t="str">
        <f t="shared" si="72"/>
        <v>&gt;=42000</v>
      </c>
      <c r="O22" s="110" t="str">
        <f t="shared" si="73"/>
        <v>&lt;0.1</v>
      </c>
      <c r="P22" s="110">
        <f t="shared" si="74"/>
        <v>0.45</v>
      </c>
      <c r="Q22" s="111">
        <f t="shared" si="75"/>
        <v>0.15</v>
      </c>
      <c r="R22" s="108" t="str">
        <f t="shared" si="76"/>
        <v>&lt;0.4</v>
      </c>
      <c r="S22" s="110">
        <f t="shared" si="77"/>
        <v>0.77</v>
      </c>
      <c r="T22" s="109" t="str">
        <f t="shared" si="78"/>
        <v>&lt;5.6</v>
      </c>
      <c r="U22" s="110">
        <f t="shared" si="79"/>
        <v>0.7</v>
      </c>
      <c r="V22" s="110">
        <f t="shared" si="80"/>
        <v>7.95</v>
      </c>
      <c r="W22" s="109">
        <f t="shared" si="81"/>
        <v>7800</v>
      </c>
      <c r="X22" s="110">
        <f t="shared" si="82"/>
        <v>0.54</v>
      </c>
      <c r="Y22" s="108" t="str">
        <f t="shared" si="83"/>
        <v>&lt;2</v>
      </c>
      <c r="Z22" s="110" t="str">
        <f t="shared" si="84"/>
        <v>&lt;2</v>
      </c>
      <c r="AA22" s="110" t="str">
        <f t="shared" si="85"/>
        <v>&lt;2</v>
      </c>
      <c r="AB22" s="108" t="str">
        <f t="shared" si="86"/>
        <v>&lt;1</v>
      </c>
      <c r="AC22" s="108" t="str">
        <f t="shared" si="87"/>
        <v>&lt;5</v>
      </c>
      <c r="AD22" s="106">
        <f t="shared" si="88"/>
        <v>1100</v>
      </c>
      <c r="AE22" s="106">
        <f t="shared" si="89"/>
        <v>5.0999999999999996</v>
      </c>
      <c r="AF22" s="109">
        <f t="shared" si="90"/>
        <v>2020</v>
      </c>
      <c r="AG22" s="106">
        <f t="shared" si="91"/>
        <v>7.2999999999999995E-2</v>
      </c>
      <c r="AH22" s="109">
        <f t="shared" si="92"/>
        <v>1800</v>
      </c>
      <c r="AI22" s="109">
        <f t="shared" si="93"/>
        <v>4900</v>
      </c>
      <c r="AJ22" s="106">
        <f t="shared" si="94"/>
        <v>4.3</v>
      </c>
      <c r="AK22" s="106" t="str">
        <f t="shared" si="95"/>
        <v>&lt;0.2</v>
      </c>
      <c r="AL22" s="112">
        <f t="shared" si="96"/>
        <v>2</v>
      </c>
      <c r="AM22" s="106" t="str">
        <f t="shared" si="97"/>
        <v>&lt;0.2</v>
      </c>
      <c r="AN22" s="111" t="str">
        <f t="shared" si="98"/>
        <v>&lt;0.2</v>
      </c>
      <c r="AO22" s="106" t="str">
        <f t="shared" si="99"/>
        <v>&lt;0.02</v>
      </c>
      <c r="AP22" s="111" t="s">
        <v>254</v>
      </c>
      <c r="AQ22" s="106">
        <f t="shared" si="100"/>
        <v>4.9000000000000004</v>
      </c>
      <c r="AR22" s="109" t="str">
        <f t="shared" si="101"/>
        <v>&lt;20</v>
      </c>
      <c r="AS22" s="109">
        <f t="shared" si="102"/>
        <v>32</v>
      </c>
      <c r="AT22" s="109" t="str">
        <f t="shared" si="103"/>
        <v>&lt;0.05</v>
      </c>
      <c r="AU22" s="108" t="str">
        <f t="shared" si="104"/>
        <v>&lt;2</v>
      </c>
      <c r="AV22" s="110">
        <f t="shared" si="105"/>
        <v>0.39</v>
      </c>
      <c r="AW22" s="108">
        <f t="shared" si="106"/>
        <v>3.3</v>
      </c>
      <c r="AX22" s="108" t="str">
        <f t="shared" si="107"/>
        <v>&lt;0.2</v>
      </c>
      <c r="AY22" s="231" t="str">
        <f t="shared" si="108"/>
        <v>&lt;10</v>
      </c>
      <c r="AZ22" s="223">
        <v>1912004</v>
      </c>
      <c r="BA22" s="106" t="str">
        <f t="shared" si="109"/>
        <v>&lt;0.2</v>
      </c>
      <c r="BB22" s="106">
        <f t="shared" si="110"/>
        <v>1.9</v>
      </c>
      <c r="BC22" s="111" t="str">
        <f t="shared" si="111"/>
        <v>&lt;0.2</v>
      </c>
      <c r="BD22" s="111" t="str">
        <f t="shared" si="112"/>
        <v>&lt;0.2</v>
      </c>
      <c r="BE22" s="106" t="str">
        <f t="shared" si="113"/>
        <v>&lt;0.02</v>
      </c>
      <c r="BF22" s="111" t="s">
        <v>254</v>
      </c>
      <c r="BG22" s="106">
        <f t="shared" si="114"/>
        <v>3.6</v>
      </c>
      <c r="BH22" s="109" t="str">
        <f t="shared" si="115"/>
        <v>&lt;20</v>
      </c>
      <c r="BI22" s="109">
        <f t="shared" si="116"/>
        <v>27</v>
      </c>
      <c r="BJ22" s="109" t="str">
        <f t="shared" si="117"/>
        <v>&lt;0.05</v>
      </c>
      <c r="BK22" s="112" t="str">
        <f t="shared" si="118"/>
        <v>&lt;2</v>
      </c>
      <c r="BL22" s="110">
        <f t="shared" si="119"/>
        <v>0.28000000000000003</v>
      </c>
      <c r="BM22" s="108">
        <f t="shared" si="120"/>
        <v>3.4</v>
      </c>
      <c r="BN22" s="110" t="str">
        <f t="shared" si="121"/>
        <v>&lt;0.2</v>
      </c>
      <c r="BO22" s="113" t="str">
        <f t="shared" si="122"/>
        <v>&lt;10</v>
      </c>
    </row>
    <row r="23" spans="1:67" ht="27" customHeight="1" x14ac:dyDescent="0.4">
      <c r="A23" s="266" t="s">
        <v>127</v>
      </c>
      <c r="B23" s="106" t="str">
        <f t="shared" si="0"/>
        <v>Laguna Niguel</v>
      </c>
      <c r="C23" s="223">
        <v>1911001</v>
      </c>
      <c r="D23" s="107">
        <f t="shared" si="63"/>
        <v>44439.415277777778</v>
      </c>
      <c r="E23" s="107"/>
      <c r="F23" s="108">
        <f t="shared" si="64"/>
        <v>0.9</v>
      </c>
      <c r="G23" s="108">
        <f t="shared" si="65"/>
        <v>8.52</v>
      </c>
      <c r="H23" s="109">
        <f t="shared" si="66"/>
        <v>2840</v>
      </c>
      <c r="I23" s="110">
        <f t="shared" si="67"/>
        <v>7.67</v>
      </c>
      <c r="J23" s="110">
        <f t="shared" si="68"/>
        <v>21.46</v>
      </c>
      <c r="K23" s="109">
        <f t="shared" si="69"/>
        <v>21000</v>
      </c>
      <c r="L23" s="109">
        <f t="shared" si="70"/>
        <v>2900</v>
      </c>
      <c r="M23" s="109">
        <f t="shared" si="71"/>
        <v>30000</v>
      </c>
      <c r="N23" s="109" t="str">
        <f t="shared" si="72"/>
        <v>&gt;=49000</v>
      </c>
      <c r="O23" s="110">
        <f t="shared" si="73"/>
        <v>0.15</v>
      </c>
      <c r="P23" s="108">
        <f t="shared" si="74"/>
        <v>5.3</v>
      </c>
      <c r="Q23" s="111">
        <f t="shared" si="75"/>
        <v>0.37</v>
      </c>
      <c r="R23" s="108">
        <f t="shared" si="76"/>
        <v>1.1000000000000001</v>
      </c>
      <c r="S23" s="108">
        <f t="shared" si="77"/>
        <v>1.2</v>
      </c>
      <c r="T23" s="109" t="str">
        <f t="shared" si="78"/>
        <v>&lt;7.7</v>
      </c>
      <c r="U23" s="108">
        <f t="shared" si="79"/>
        <v>2.6</v>
      </c>
      <c r="V23" s="110">
        <f t="shared" si="80"/>
        <v>7.75</v>
      </c>
      <c r="W23" s="109">
        <f t="shared" si="81"/>
        <v>2900</v>
      </c>
      <c r="X23" s="108">
        <f t="shared" si="82"/>
        <v>2.2999999999999998</v>
      </c>
      <c r="Y23" s="108" t="str">
        <f t="shared" si="83"/>
        <v>&lt;2</v>
      </c>
      <c r="Z23" s="110" t="str">
        <f t="shared" si="84"/>
        <v>&lt;2</v>
      </c>
      <c r="AA23" s="110" t="str">
        <f t="shared" si="85"/>
        <v>&lt;2</v>
      </c>
      <c r="AB23" s="108" t="str">
        <f t="shared" si="86"/>
        <v>&lt;1</v>
      </c>
      <c r="AC23" s="108" t="str">
        <f t="shared" si="87"/>
        <v>&lt;5</v>
      </c>
      <c r="AD23" s="106">
        <f t="shared" si="88"/>
        <v>310</v>
      </c>
      <c r="AE23" s="106">
        <f t="shared" si="89"/>
        <v>8.6</v>
      </c>
      <c r="AF23" s="109">
        <f t="shared" si="90"/>
        <v>720</v>
      </c>
      <c r="AG23" s="106">
        <f t="shared" si="91"/>
        <v>5.2999999999999999E-2</v>
      </c>
      <c r="AH23" s="109">
        <f t="shared" si="92"/>
        <v>690</v>
      </c>
      <c r="AI23" s="109">
        <f t="shared" si="93"/>
        <v>1700</v>
      </c>
      <c r="AJ23" s="106">
        <f t="shared" si="94"/>
        <v>7.2</v>
      </c>
      <c r="AK23" s="106" t="str">
        <f t="shared" si="95"/>
        <v>&lt;0.2</v>
      </c>
      <c r="AL23" s="112">
        <f t="shared" si="96"/>
        <v>2</v>
      </c>
      <c r="AM23" s="106">
        <f t="shared" si="97"/>
        <v>0.35</v>
      </c>
      <c r="AN23" s="111">
        <f t="shared" si="98"/>
        <v>0.4</v>
      </c>
      <c r="AO23" s="106">
        <f t="shared" si="99"/>
        <v>0.13</v>
      </c>
      <c r="AP23" s="111">
        <f t="shared" si="61"/>
        <v>0.27</v>
      </c>
      <c r="AQ23" s="106">
        <f t="shared" si="100"/>
        <v>13</v>
      </c>
      <c r="AR23" s="109">
        <f t="shared" si="101"/>
        <v>140</v>
      </c>
      <c r="AS23" s="109">
        <f t="shared" si="102"/>
        <v>39</v>
      </c>
      <c r="AT23" s="109" t="str">
        <f t="shared" si="103"/>
        <v>&lt;0.05</v>
      </c>
      <c r="AU23" s="108">
        <f t="shared" si="104"/>
        <v>7.1</v>
      </c>
      <c r="AV23" s="110" t="str">
        <f t="shared" si="105"/>
        <v>&lt;0.2</v>
      </c>
      <c r="AW23" s="108">
        <f t="shared" si="106"/>
        <v>4.0999999999999996</v>
      </c>
      <c r="AX23" s="108" t="str">
        <f t="shared" si="107"/>
        <v>&lt;0.2</v>
      </c>
      <c r="AY23" s="231">
        <f t="shared" si="108"/>
        <v>11</v>
      </c>
      <c r="AZ23" s="223">
        <v>1858006</v>
      </c>
      <c r="BA23" s="106" t="str">
        <f t="shared" si="109"/>
        <v>&lt;0.2</v>
      </c>
      <c r="BB23" s="106">
        <f t="shared" si="110"/>
        <v>22</v>
      </c>
      <c r="BC23" s="111">
        <f t="shared" si="111"/>
        <v>0.22</v>
      </c>
      <c r="BD23" s="111">
        <f t="shared" si="112"/>
        <v>0.24</v>
      </c>
      <c r="BE23" s="106">
        <f t="shared" si="113"/>
        <v>3.3000000000000002E-2</v>
      </c>
      <c r="BF23" s="111">
        <f t="shared" si="62"/>
        <v>0.20699999999999999</v>
      </c>
      <c r="BG23" s="106">
        <f t="shared" si="114"/>
        <v>6.2</v>
      </c>
      <c r="BH23" s="109">
        <f t="shared" si="115"/>
        <v>540</v>
      </c>
      <c r="BI23" s="109">
        <f t="shared" si="116"/>
        <v>250</v>
      </c>
      <c r="BJ23" s="109" t="str">
        <f t="shared" si="117"/>
        <v>&lt;0.05</v>
      </c>
      <c r="BK23" s="112">
        <f t="shared" si="118"/>
        <v>5.7</v>
      </c>
      <c r="BL23" s="110">
        <f t="shared" si="119"/>
        <v>0.2</v>
      </c>
      <c r="BM23" s="108">
        <f t="shared" si="120"/>
        <v>0.96</v>
      </c>
      <c r="BN23" s="110" t="str">
        <f t="shared" si="121"/>
        <v>&lt;0.2</v>
      </c>
      <c r="BO23" s="113">
        <f t="shared" si="122"/>
        <v>26</v>
      </c>
    </row>
    <row r="24" spans="1:67" ht="27" customHeight="1" x14ac:dyDescent="0.4">
      <c r="A24" s="266" t="s">
        <v>125</v>
      </c>
      <c r="B24" s="115" t="str">
        <f t="shared" si="0"/>
        <v>Laguna Niguel</v>
      </c>
      <c r="C24" s="223">
        <v>1911002</v>
      </c>
      <c r="D24" s="107">
        <f t="shared" si="63"/>
        <v>44439.448611111111</v>
      </c>
      <c r="E24" s="107" t="s">
        <v>126</v>
      </c>
      <c r="F24" s="108">
        <f t="shared" si="64"/>
        <v>2.9</v>
      </c>
      <c r="G24" s="108">
        <f t="shared" si="65"/>
        <v>5.27</v>
      </c>
      <c r="H24" s="109">
        <f t="shared" si="66"/>
        <v>4319</v>
      </c>
      <c r="I24" s="110">
        <f t="shared" si="67"/>
        <v>7.27</v>
      </c>
      <c r="J24" s="110">
        <f t="shared" si="68"/>
        <v>20.8</v>
      </c>
      <c r="K24" s="109">
        <f t="shared" si="69"/>
        <v>380</v>
      </c>
      <c r="L24" s="109">
        <f t="shared" si="70"/>
        <v>1170</v>
      </c>
      <c r="M24" s="109">
        <f t="shared" si="71"/>
        <v>580</v>
      </c>
      <c r="N24" s="109" t="str">
        <f t="shared" si="72"/>
        <v>&gt;=33000</v>
      </c>
      <c r="O24" s="110">
        <f t="shared" si="73"/>
        <v>0.55000000000000004</v>
      </c>
      <c r="P24" s="108">
        <f t="shared" si="74"/>
        <v>5.0999999999999996</v>
      </c>
      <c r="Q24" s="111">
        <f t="shared" si="75"/>
        <v>0.35</v>
      </c>
      <c r="R24" s="108">
        <f t="shared" si="76"/>
        <v>1.7</v>
      </c>
      <c r="S24" s="108">
        <f t="shared" si="77"/>
        <v>1.2</v>
      </c>
      <c r="T24" s="109" t="str">
        <f t="shared" si="78"/>
        <v>&lt;5.6</v>
      </c>
      <c r="U24" s="108">
        <f t="shared" si="79"/>
        <v>2.1</v>
      </c>
      <c r="V24" s="110">
        <f t="shared" si="80"/>
        <v>7.37</v>
      </c>
      <c r="W24" s="109">
        <f t="shared" si="81"/>
        <v>4900</v>
      </c>
      <c r="X24" s="108">
        <f t="shared" si="82"/>
        <v>1.8</v>
      </c>
      <c r="Y24" s="108" t="str">
        <f t="shared" si="83"/>
        <v>&lt;2</v>
      </c>
      <c r="Z24" s="110" t="str">
        <f t="shared" si="84"/>
        <v>&lt;2</v>
      </c>
      <c r="AA24" s="110" t="str">
        <f t="shared" si="85"/>
        <v>&lt;2</v>
      </c>
      <c r="AB24" s="108" t="str">
        <f t="shared" si="86"/>
        <v>&lt;1</v>
      </c>
      <c r="AC24" s="108" t="str">
        <f t="shared" si="87"/>
        <v>&lt;5</v>
      </c>
      <c r="AD24" s="106">
        <f t="shared" si="88"/>
        <v>650</v>
      </c>
      <c r="AE24" s="106">
        <f t="shared" si="89"/>
        <v>10</v>
      </c>
      <c r="AF24" s="109">
        <f t="shared" si="90"/>
        <v>1330</v>
      </c>
      <c r="AG24" s="106">
        <f t="shared" si="91"/>
        <v>6.3E-2</v>
      </c>
      <c r="AH24" s="109">
        <f t="shared" si="92"/>
        <v>1300</v>
      </c>
      <c r="AI24" s="109">
        <f t="shared" si="93"/>
        <v>3000</v>
      </c>
      <c r="AJ24" s="106">
        <f t="shared" si="94"/>
        <v>9.5</v>
      </c>
      <c r="AK24" s="106" t="str">
        <f t="shared" si="95"/>
        <v>&lt;0.2</v>
      </c>
      <c r="AL24" s="106">
        <f t="shared" si="96"/>
        <v>1.8</v>
      </c>
      <c r="AM24" s="106">
        <f t="shared" si="97"/>
        <v>0.34</v>
      </c>
      <c r="AN24" s="111">
        <f t="shared" si="98"/>
        <v>0.24</v>
      </c>
      <c r="AO24" s="106" t="str">
        <f t="shared" si="99"/>
        <v>&lt;0.02</v>
      </c>
      <c r="AP24" s="111" t="s">
        <v>255</v>
      </c>
      <c r="AQ24" s="106">
        <f t="shared" si="100"/>
        <v>4.8</v>
      </c>
      <c r="AR24" s="109">
        <f t="shared" si="101"/>
        <v>150</v>
      </c>
      <c r="AS24" s="109">
        <f t="shared" si="102"/>
        <v>42</v>
      </c>
      <c r="AT24" s="109" t="str">
        <f t="shared" si="103"/>
        <v>&lt;0.05</v>
      </c>
      <c r="AU24" s="108">
        <f t="shared" si="104"/>
        <v>7</v>
      </c>
      <c r="AV24" s="110" t="str">
        <f t="shared" si="105"/>
        <v>&lt;0.2</v>
      </c>
      <c r="AW24" s="108">
        <f t="shared" si="106"/>
        <v>7.6</v>
      </c>
      <c r="AX24" s="108" t="str">
        <f t="shared" si="107"/>
        <v>&lt;0.2</v>
      </c>
      <c r="AY24" s="231" t="str">
        <f t="shared" si="108"/>
        <v>&lt;10</v>
      </c>
      <c r="AZ24" s="223">
        <v>1911004</v>
      </c>
      <c r="BA24" s="106" t="str">
        <f t="shared" si="109"/>
        <v>&lt;0.2</v>
      </c>
      <c r="BB24" s="106">
        <f t="shared" si="110"/>
        <v>1.7</v>
      </c>
      <c r="BC24" s="111">
        <f t="shared" si="111"/>
        <v>0.31</v>
      </c>
      <c r="BD24" s="111" t="str">
        <f t="shared" si="112"/>
        <v>&lt;0.2</v>
      </c>
      <c r="BE24" s="106" t="str">
        <f t="shared" si="113"/>
        <v>&lt;0.02</v>
      </c>
      <c r="BF24" s="111" t="s">
        <v>254</v>
      </c>
      <c r="BG24" s="106">
        <f t="shared" si="114"/>
        <v>3.6</v>
      </c>
      <c r="BH24" s="109">
        <f t="shared" si="115"/>
        <v>43</v>
      </c>
      <c r="BI24" s="109">
        <f t="shared" si="116"/>
        <v>29</v>
      </c>
      <c r="BJ24" s="109" t="str">
        <f t="shared" si="117"/>
        <v>&lt;0.05</v>
      </c>
      <c r="BK24" s="112">
        <f t="shared" si="118"/>
        <v>6.9</v>
      </c>
      <c r="BL24" s="110" t="str">
        <f t="shared" si="119"/>
        <v>&lt;0.2</v>
      </c>
      <c r="BM24" s="108">
        <f t="shared" si="120"/>
        <v>7.5</v>
      </c>
      <c r="BN24" s="110" t="str">
        <f t="shared" si="121"/>
        <v>&lt;0.2</v>
      </c>
      <c r="BO24" s="113" t="str">
        <f t="shared" si="122"/>
        <v>&lt;10</v>
      </c>
    </row>
    <row r="25" spans="1:67" ht="27" customHeight="1" x14ac:dyDescent="0.4">
      <c r="A25" s="266" t="s">
        <v>124</v>
      </c>
      <c r="B25" s="106" t="str">
        <f t="shared" si="0"/>
        <v>Laguna Niguel</v>
      </c>
      <c r="C25" s="223">
        <v>1934001</v>
      </c>
      <c r="D25" s="107">
        <f t="shared" si="63"/>
        <v>44452.352083333331</v>
      </c>
      <c r="E25" s="107"/>
      <c r="F25" s="108">
        <f t="shared" si="64"/>
        <v>2.58</v>
      </c>
      <c r="G25" s="108">
        <f t="shared" si="65"/>
        <v>7.02</v>
      </c>
      <c r="H25" s="109">
        <f t="shared" si="66"/>
        <v>2485</v>
      </c>
      <c r="I25" s="110">
        <f t="shared" si="67"/>
        <v>8.4</v>
      </c>
      <c r="J25" s="110">
        <f t="shared" si="68"/>
        <v>20.95</v>
      </c>
      <c r="K25" s="109">
        <f t="shared" si="69"/>
        <v>29000</v>
      </c>
      <c r="L25" s="109">
        <f t="shared" si="70"/>
        <v>23000</v>
      </c>
      <c r="M25" s="109" t="str">
        <f t="shared" si="71"/>
        <v>&gt;=24000</v>
      </c>
      <c r="N25" s="109" t="str">
        <f t="shared" si="72"/>
        <v>&gt;=150000</v>
      </c>
      <c r="O25" s="110">
        <f t="shared" si="73"/>
        <v>3.4</v>
      </c>
      <c r="P25" s="109" t="str">
        <f t="shared" si="74"/>
        <v>&lt;0.1</v>
      </c>
      <c r="Q25" s="111">
        <f t="shared" si="75"/>
        <v>0.49</v>
      </c>
      <c r="R25" s="108">
        <f t="shared" si="76"/>
        <v>5.2</v>
      </c>
      <c r="S25" s="108">
        <f t="shared" si="77"/>
        <v>2</v>
      </c>
      <c r="T25" s="109" t="str">
        <f t="shared" si="78"/>
        <v>&lt;5.6</v>
      </c>
      <c r="U25" s="108">
        <f t="shared" si="79"/>
        <v>1.8</v>
      </c>
      <c r="V25" s="110">
        <f t="shared" si="80"/>
        <v>7.59</v>
      </c>
      <c r="W25" s="109">
        <f t="shared" si="81"/>
        <v>3200</v>
      </c>
      <c r="X25" s="108">
        <f t="shared" si="82"/>
        <v>2.1</v>
      </c>
      <c r="Y25" s="108" t="str">
        <f t="shared" si="83"/>
        <v>&lt;2</v>
      </c>
      <c r="Z25" s="110" t="str">
        <f t="shared" si="84"/>
        <v>&lt;2</v>
      </c>
      <c r="AA25" s="110" t="str">
        <f t="shared" si="85"/>
        <v>&lt;2</v>
      </c>
      <c r="AB25" s="108" t="str">
        <f t="shared" si="86"/>
        <v>&lt;1</v>
      </c>
      <c r="AC25" s="108">
        <f t="shared" si="87"/>
        <v>2.2599999999999998</v>
      </c>
      <c r="AD25" s="106">
        <f t="shared" si="88"/>
        <v>340</v>
      </c>
      <c r="AE25" s="106">
        <f t="shared" si="89"/>
        <v>10</v>
      </c>
      <c r="AF25" s="109">
        <f t="shared" si="90"/>
        <v>769</v>
      </c>
      <c r="AG25" s="106">
        <f t="shared" si="91"/>
        <v>0.1</v>
      </c>
      <c r="AH25" s="109">
        <f t="shared" si="92"/>
        <v>670</v>
      </c>
      <c r="AI25" s="109">
        <f t="shared" si="93"/>
        <v>1700</v>
      </c>
      <c r="AJ25" s="106">
        <f t="shared" si="94"/>
        <v>9.1</v>
      </c>
      <c r="AK25" s="106" t="str">
        <f t="shared" si="95"/>
        <v>&lt;0.2</v>
      </c>
      <c r="AL25" s="112">
        <f t="shared" si="96"/>
        <v>2</v>
      </c>
      <c r="AM25" s="106">
        <f t="shared" si="97"/>
        <v>0.82</v>
      </c>
      <c r="AN25" s="111">
        <f t="shared" si="98"/>
        <v>0.31</v>
      </c>
      <c r="AO25" s="106">
        <f t="shared" si="99"/>
        <v>6.2E-2</v>
      </c>
      <c r="AP25" s="111">
        <f t="shared" si="61"/>
        <v>0.248</v>
      </c>
      <c r="AQ25" s="106">
        <f t="shared" si="100"/>
        <v>5.6</v>
      </c>
      <c r="AR25" s="109">
        <f t="shared" si="101"/>
        <v>110</v>
      </c>
      <c r="AS25" s="109">
        <f t="shared" si="102"/>
        <v>38</v>
      </c>
      <c r="AT25" s="109" t="str">
        <f t="shared" si="103"/>
        <v>&lt;0.05</v>
      </c>
      <c r="AU25" s="108">
        <f t="shared" si="104"/>
        <v>8.1999999999999993</v>
      </c>
      <c r="AV25" s="110">
        <f t="shared" si="105"/>
        <v>0.71</v>
      </c>
      <c r="AW25" s="108">
        <f t="shared" si="106"/>
        <v>3.9</v>
      </c>
      <c r="AX25" s="108" t="str">
        <f t="shared" si="107"/>
        <v>&lt;0.2</v>
      </c>
      <c r="AY25" s="231">
        <f t="shared" si="108"/>
        <v>34</v>
      </c>
      <c r="AZ25" s="223">
        <v>1934005</v>
      </c>
      <c r="BA25" s="106" t="str">
        <f t="shared" si="109"/>
        <v>&lt;0.2</v>
      </c>
      <c r="BB25" s="106">
        <f t="shared" si="110"/>
        <v>1.9</v>
      </c>
      <c r="BC25" s="111">
        <f t="shared" si="111"/>
        <v>0.34</v>
      </c>
      <c r="BD25" s="111">
        <f t="shared" si="112"/>
        <v>0.25</v>
      </c>
      <c r="BE25" s="106">
        <f t="shared" si="113"/>
        <v>6.9000000000000006E-2</v>
      </c>
      <c r="BF25" s="111">
        <f t="shared" si="62"/>
        <v>0.18099999999999999</v>
      </c>
      <c r="BG25" s="106">
        <f t="shared" si="114"/>
        <v>2.9</v>
      </c>
      <c r="BH25" s="109">
        <f t="shared" si="115"/>
        <v>32</v>
      </c>
      <c r="BI25" s="109">
        <f t="shared" si="116"/>
        <v>28</v>
      </c>
      <c r="BJ25" s="109" t="str">
        <f t="shared" si="117"/>
        <v>&lt;0.05</v>
      </c>
      <c r="BK25" s="112">
        <f t="shared" si="118"/>
        <v>7.7</v>
      </c>
      <c r="BL25" s="110" t="str">
        <f t="shared" si="119"/>
        <v>&lt;0.2</v>
      </c>
      <c r="BM25" s="108">
        <f t="shared" si="120"/>
        <v>3.9</v>
      </c>
      <c r="BN25" s="110" t="str">
        <f t="shared" si="121"/>
        <v>&lt;0.2</v>
      </c>
      <c r="BO25" s="113">
        <f t="shared" si="122"/>
        <v>23</v>
      </c>
    </row>
    <row r="26" spans="1:67" ht="27" customHeight="1" x14ac:dyDescent="0.4">
      <c r="A26" s="266" t="s">
        <v>130</v>
      </c>
      <c r="B26" s="106" t="str">
        <f t="shared" si="0"/>
        <v>Laguna Niguel</v>
      </c>
      <c r="C26" s="223">
        <v>1934002</v>
      </c>
      <c r="D26" s="107">
        <f t="shared" si="63"/>
        <v>44452.406944444447</v>
      </c>
      <c r="E26" s="107"/>
      <c r="F26" s="108">
        <f t="shared" si="64"/>
        <v>2.1</v>
      </c>
      <c r="G26" s="108">
        <f t="shared" si="65"/>
        <v>6.5</v>
      </c>
      <c r="H26" s="109">
        <f t="shared" si="66"/>
        <v>3501</v>
      </c>
      <c r="I26" s="110">
        <f t="shared" si="67"/>
        <v>8.15</v>
      </c>
      <c r="J26" s="110">
        <f t="shared" si="68"/>
        <v>21.2</v>
      </c>
      <c r="K26" s="109">
        <f t="shared" si="69"/>
        <v>290</v>
      </c>
      <c r="L26" s="109">
        <f t="shared" si="70"/>
        <v>860</v>
      </c>
      <c r="M26" s="109">
        <f t="shared" si="71"/>
        <v>280</v>
      </c>
      <c r="N26" s="109" t="str">
        <f t="shared" si="72"/>
        <v>&gt;=6000</v>
      </c>
      <c r="O26" s="110" t="str">
        <f t="shared" si="73"/>
        <v>&lt;0.1</v>
      </c>
      <c r="P26" s="109" t="str">
        <f t="shared" si="74"/>
        <v>&lt;0.1</v>
      </c>
      <c r="Q26" s="111">
        <f t="shared" si="75"/>
        <v>9.2999999999999999E-2</v>
      </c>
      <c r="R26" s="110">
        <f t="shared" si="76"/>
        <v>0.39</v>
      </c>
      <c r="S26" s="110">
        <f t="shared" si="77"/>
        <v>0.81</v>
      </c>
      <c r="T26" s="109" t="str">
        <f t="shared" si="78"/>
        <v>&lt;5.6</v>
      </c>
      <c r="U26" s="109">
        <f t="shared" si="79"/>
        <v>13</v>
      </c>
      <c r="V26" s="110">
        <f t="shared" si="80"/>
        <v>7.58</v>
      </c>
      <c r="W26" s="109">
        <f t="shared" si="81"/>
        <v>4600</v>
      </c>
      <c r="X26" s="108">
        <f t="shared" si="82"/>
        <v>2.9</v>
      </c>
      <c r="Y26" s="108" t="str">
        <f t="shared" si="83"/>
        <v>&lt;2</v>
      </c>
      <c r="Z26" s="110" t="str">
        <f t="shared" si="84"/>
        <v>&lt;2</v>
      </c>
      <c r="AA26" s="110" t="str">
        <f t="shared" si="85"/>
        <v>&lt;2</v>
      </c>
      <c r="AB26" s="108" t="str">
        <f t="shared" si="86"/>
        <v>&lt;1</v>
      </c>
      <c r="AC26" s="108">
        <f t="shared" si="87"/>
        <v>3.15</v>
      </c>
      <c r="AD26" s="106">
        <f t="shared" si="88"/>
        <v>400</v>
      </c>
      <c r="AE26" s="106">
        <f t="shared" si="89"/>
        <v>2.8</v>
      </c>
      <c r="AF26" s="109">
        <f t="shared" si="90"/>
        <v>1130</v>
      </c>
      <c r="AG26" s="106" t="str">
        <f t="shared" si="91"/>
        <v>&lt;0.05</v>
      </c>
      <c r="AH26" s="109">
        <f t="shared" si="92"/>
        <v>1200</v>
      </c>
      <c r="AI26" s="109">
        <f t="shared" si="93"/>
        <v>2600</v>
      </c>
      <c r="AJ26" s="106">
        <f t="shared" si="94"/>
        <v>2.8</v>
      </c>
      <c r="AK26" s="106" t="str">
        <f t="shared" si="95"/>
        <v>&lt;0.2</v>
      </c>
      <c r="AL26" s="106">
        <f t="shared" si="96"/>
        <v>8.5</v>
      </c>
      <c r="AM26" s="106">
        <f t="shared" si="97"/>
        <v>1.5</v>
      </c>
      <c r="AN26" s="111">
        <f t="shared" si="98"/>
        <v>0.38</v>
      </c>
      <c r="AO26" s="106">
        <f t="shared" si="99"/>
        <v>3.5999999999999997E-2</v>
      </c>
      <c r="AP26" s="111">
        <f t="shared" si="61"/>
        <v>0.34400000000000003</v>
      </c>
      <c r="AQ26" s="106">
        <f t="shared" si="100"/>
        <v>2.7</v>
      </c>
      <c r="AR26" s="109">
        <f t="shared" si="101"/>
        <v>490</v>
      </c>
      <c r="AS26" s="109">
        <f t="shared" si="102"/>
        <v>330</v>
      </c>
      <c r="AT26" s="109" t="str">
        <f t="shared" si="103"/>
        <v>&lt;0.05</v>
      </c>
      <c r="AU26" s="109">
        <f t="shared" si="104"/>
        <v>11</v>
      </c>
      <c r="AV26" s="110">
        <f t="shared" si="105"/>
        <v>0.34</v>
      </c>
      <c r="AW26" s="108">
        <f t="shared" si="106"/>
        <v>1.4</v>
      </c>
      <c r="AX26" s="108" t="str">
        <f t="shared" si="107"/>
        <v>&lt;0.2</v>
      </c>
      <c r="AY26" s="231">
        <f t="shared" si="108"/>
        <v>22</v>
      </c>
      <c r="AZ26" s="223">
        <v>1934006</v>
      </c>
      <c r="BA26" s="106" t="str">
        <f t="shared" si="109"/>
        <v>&lt;0.2</v>
      </c>
      <c r="BB26" s="112">
        <f t="shared" si="110"/>
        <v>7</v>
      </c>
      <c r="BC26" s="112">
        <f t="shared" si="111"/>
        <v>1</v>
      </c>
      <c r="BD26" s="111" t="str">
        <f t="shared" si="112"/>
        <v>&lt;0.2</v>
      </c>
      <c r="BE26" s="106" t="str">
        <f t="shared" si="113"/>
        <v>&lt;0.02</v>
      </c>
      <c r="BF26" s="111" t="s">
        <v>254</v>
      </c>
      <c r="BG26" s="106">
        <f t="shared" si="114"/>
        <v>1.2</v>
      </c>
      <c r="BH26" s="109" t="str">
        <f t="shared" si="115"/>
        <v>&lt;20</v>
      </c>
      <c r="BI26" s="109">
        <f t="shared" si="116"/>
        <v>140</v>
      </c>
      <c r="BJ26" s="109" t="str">
        <f t="shared" si="117"/>
        <v>&lt;0.05</v>
      </c>
      <c r="BK26" s="112">
        <f t="shared" si="118"/>
        <v>7.8</v>
      </c>
      <c r="BL26" s="110" t="str">
        <f t="shared" si="119"/>
        <v>&lt;0.2</v>
      </c>
      <c r="BM26" s="108">
        <f t="shared" si="120"/>
        <v>1.4</v>
      </c>
      <c r="BN26" s="110" t="str">
        <f t="shared" si="121"/>
        <v>&lt;0.2</v>
      </c>
      <c r="BO26" s="113" t="str">
        <f t="shared" si="122"/>
        <v>&lt;10</v>
      </c>
    </row>
    <row r="27" spans="1:67" ht="27" customHeight="1" x14ac:dyDescent="0.4">
      <c r="A27" s="266" t="s">
        <v>132</v>
      </c>
      <c r="B27" s="106" t="str">
        <f t="shared" si="0"/>
        <v>Laguna Niguel</v>
      </c>
      <c r="C27" s="223">
        <v>1934003</v>
      </c>
      <c r="D27" s="107">
        <f t="shared" si="63"/>
        <v>44452.428472222222</v>
      </c>
      <c r="E27" s="107"/>
      <c r="F27" s="108">
        <f t="shared" si="64"/>
        <v>0.27</v>
      </c>
      <c r="G27" s="108">
        <f t="shared" si="65"/>
        <v>5.34</v>
      </c>
      <c r="H27" s="109">
        <f t="shared" si="66"/>
        <v>2479</v>
      </c>
      <c r="I27" s="110">
        <f t="shared" si="67"/>
        <v>7.89</v>
      </c>
      <c r="J27" s="110">
        <f t="shared" si="68"/>
        <v>21.82</v>
      </c>
      <c r="K27" s="109" t="str">
        <f t="shared" si="69"/>
        <v>&lt;9</v>
      </c>
      <c r="L27" s="109">
        <f t="shared" si="70"/>
        <v>150</v>
      </c>
      <c r="M27" s="109">
        <f t="shared" si="71"/>
        <v>9</v>
      </c>
      <c r="N27" s="109" t="str">
        <f t="shared" si="72"/>
        <v>&gt;=570</v>
      </c>
      <c r="O27" s="110" t="str">
        <f t="shared" si="73"/>
        <v>&lt;0.1</v>
      </c>
      <c r="P27" s="109" t="str">
        <f t="shared" si="74"/>
        <v>&lt;0.1</v>
      </c>
      <c r="Q27" s="111">
        <f t="shared" si="75"/>
        <v>0.15</v>
      </c>
      <c r="R27" s="110">
        <f t="shared" si="76"/>
        <v>0.27</v>
      </c>
      <c r="S27" s="110">
        <f t="shared" si="77"/>
        <v>0.86</v>
      </c>
      <c r="T27" s="109" t="str">
        <f t="shared" si="78"/>
        <v>&lt;5.6</v>
      </c>
      <c r="U27" s="110">
        <f t="shared" si="79"/>
        <v>0.9</v>
      </c>
      <c r="V27" s="110">
        <f t="shared" si="80"/>
        <v>7.57</v>
      </c>
      <c r="W27" s="109">
        <f t="shared" si="81"/>
        <v>3200</v>
      </c>
      <c r="X27" s="110">
        <f t="shared" si="82"/>
        <v>0.63</v>
      </c>
      <c r="Y27" s="108" t="str">
        <f t="shared" si="83"/>
        <v>&lt;2</v>
      </c>
      <c r="Z27" s="110" t="str">
        <f t="shared" si="84"/>
        <v>&lt;2</v>
      </c>
      <c r="AA27" s="110" t="str">
        <f t="shared" si="85"/>
        <v>&lt;2</v>
      </c>
      <c r="AB27" s="108" t="str">
        <f t="shared" si="86"/>
        <v>&lt;1</v>
      </c>
      <c r="AC27" s="108" t="str">
        <f t="shared" si="87"/>
        <v>&lt;5</v>
      </c>
      <c r="AD27" s="106">
        <f t="shared" si="88"/>
        <v>270</v>
      </c>
      <c r="AE27" s="106">
        <f t="shared" si="89"/>
        <v>1.8</v>
      </c>
      <c r="AF27" s="109">
        <f t="shared" si="90"/>
        <v>618</v>
      </c>
      <c r="AG27" s="106" t="str">
        <f t="shared" si="91"/>
        <v>&lt;0.05</v>
      </c>
      <c r="AH27" s="109">
        <f t="shared" si="92"/>
        <v>710</v>
      </c>
      <c r="AI27" s="109">
        <f t="shared" si="93"/>
        <v>1900</v>
      </c>
      <c r="AJ27" s="106">
        <f t="shared" si="94"/>
        <v>1.6</v>
      </c>
      <c r="AK27" s="106" t="str">
        <f t="shared" si="95"/>
        <v>&lt;0.2</v>
      </c>
      <c r="AL27" s="106">
        <f t="shared" si="96"/>
        <v>6.3</v>
      </c>
      <c r="AM27" s="106">
        <f t="shared" si="97"/>
        <v>0.61</v>
      </c>
      <c r="AN27" s="111" t="str">
        <f t="shared" si="98"/>
        <v>&lt;0.2</v>
      </c>
      <c r="AO27" s="106" t="str">
        <f t="shared" si="99"/>
        <v>&lt;0.02</v>
      </c>
      <c r="AP27" s="111" t="s">
        <v>254</v>
      </c>
      <c r="AQ27" s="106">
        <f t="shared" si="100"/>
        <v>0.53</v>
      </c>
      <c r="AR27" s="109">
        <f t="shared" si="101"/>
        <v>49</v>
      </c>
      <c r="AS27" s="109">
        <f t="shared" si="102"/>
        <v>180</v>
      </c>
      <c r="AT27" s="109" t="str">
        <f t="shared" si="103"/>
        <v>&lt;0.05</v>
      </c>
      <c r="AU27" s="108">
        <f t="shared" si="104"/>
        <v>2.9</v>
      </c>
      <c r="AV27" s="110" t="str">
        <f t="shared" si="105"/>
        <v>&lt;0.2</v>
      </c>
      <c r="AW27" s="108" t="str">
        <f t="shared" si="106"/>
        <v>&lt;0.4</v>
      </c>
      <c r="AX27" s="108" t="str">
        <f t="shared" si="107"/>
        <v>&lt;0.2</v>
      </c>
      <c r="AY27" s="231" t="str">
        <f t="shared" si="108"/>
        <v>&lt;10</v>
      </c>
      <c r="AZ27" s="223">
        <v>1934007</v>
      </c>
      <c r="BA27" s="106" t="str">
        <f t="shared" si="109"/>
        <v>&lt;0.2</v>
      </c>
      <c r="BB27" s="106">
        <f t="shared" si="110"/>
        <v>6.3</v>
      </c>
      <c r="BC27" s="111">
        <f t="shared" si="111"/>
        <v>0.28000000000000003</v>
      </c>
      <c r="BD27" s="111" t="str">
        <f t="shared" si="112"/>
        <v>&lt;0.2</v>
      </c>
      <c r="BE27" s="106" t="str">
        <f t="shared" si="113"/>
        <v>&lt;0.02</v>
      </c>
      <c r="BF27" s="111" t="s">
        <v>254</v>
      </c>
      <c r="BG27" s="111">
        <f t="shared" si="114"/>
        <v>0.66</v>
      </c>
      <c r="BH27" s="109">
        <f t="shared" si="115"/>
        <v>30</v>
      </c>
      <c r="BI27" s="109">
        <f t="shared" si="116"/>
        <v>170</v>
      </c>
      <c r="BJ27" s="109" t="str">
        <f t="shared" si="117"/>
        <v>&lt;0.05</v>
      </c>
      <c r="BK27" s="112">
        <f t="shared" si="118"/>
        <v>2.7</v>
      </c>
      <c r="BL27" s="110">
        <f t="shared" si="119"/>
        <v>0.28000000000000003</v>
      </c>
      <c r="BM27" s="108" t="str">
        <f t="shared" si="120"/>
        <v>&lt;0.4</v>
      </c>
      <c r="BN27" s="110" t="str">
        <f t="shared" si="121"/>
        <v>&lt;0.2</v>
      </c>
      <c r="BO27" s="113" t="str">
        <f t="shared" si="122"/>
        <v>&lt;10</v>
      </c>
    </row>
    <row r="28" spans="1:67" ht="27" customHeight="1" x14ac:dyDescent="0.4">
      <c r="A28" s="266" t="s">
        <v>128</v>
      </c>
      <c r="B28" s="115" t="str">
        <f t="shared" si="0"/>
        <v>Laguna Niguel</v>
      </c>
      <c r="C28" s="223">
        <v>1934004</v>
      </c>
      <c r="D28" s="107">
        <f t="shared" si="63"/>
        <v>44452.456250000003</v>
      </c>
      <c r="E28" s="107"/>
      <c r="F28" s="108">
        <f t="shared" si="64"/>
        <v>2.94</v>
      </c>
      <c r="G28" s="108">
        <f t="shared" si="65"/>
        <v>7.36</v>
      </c>
      <c r="H28" s="109">
        <f t="shared" si="66"/>
        <v>4282</v>
      </c>
      <c r="I28" s="110">
        <f t="shared" si="67"/>
        <v>8.2899999999999991</v>
      </c>
      <c r="J28" s="110">
        <f t="shared" si="68"/>
        <v>22.4</v>
      </c>
      <c r="K28" s="109" t="str">
        <f t="shared" si="69"/>
        <v>&gt;=140</v>
      </c>
      <c r="L28" s="109">
        <f t="shared" si="70"/>
        <v>2100</v>
      </c>
      <c r="M28" s="109">
        <f t="shared" si="71"/>
        <v>200</v>
      </c>
      <c r="N28" s="109" t="str">
        <f t="shared" si="72"/>
        <v>&gt;=3800</v>
      </c>
      <c r="O28" s="110">
        <f t="shared" si="73"/>
        <v>1.3</v>
      </c>
      <c r="P28" s="109" t="str">
        <f t="shared" si="74"/>
        <v>&lt;0.1</v>
      </c>
      <c r="Q28" s="111">
        <f t="shared" si="75"/>
        <v>0.2</v>
      </c>
      <c r="R28" s="108">
        <f t="shared" si="76"/>
        <v>2.2999999999999998</v>
      </c>
      <c r="S28" s="108">
        <f t="shared" si="77"/>
        <v>1</v>
      </c>
      <c r="T28" s="109" t="str">
        <f t="shared" si="78"/>
        <v>&lt;5.6</v>
      </c>
      <c r="U28" s="108">
        <f t="shared" si="79"/>
        <v>2.4</v>
      </c>
      <c r="V28" s="110">
        <f t="shared" si="80"/>
        <v>7.68</v>
      </c>
      <c r="W28" s="109">
        <f t="shared" si="81"/>
        <v>5500</v>
      </c>
      <c r="X28" s="110">
        <f t="shared" si="82"/>
        <v>0.94</v>
      </c>
      <c r="Y28" s="108" t="str">
        <f t="shared" si="83"/>
        <v>&lt;2</v>
      </c>
      <c r="Z28" s="110" t="str">
        <f t="shared" si="84"/>
        <v>&lt;2</v>
      </c>
      <c r="AA28" s="110" t="str">
        <f t="shared" si="85"/>
        <v>&lt;2</v>
      </c>
      <c r="AB28" s="108" t="str">
        <f t="shared" si="86"/>
        <v>&lt;1</v>
      </c>
      <c r="AC28" s="108" t="str">
        <f t="shared" si="87"/>
        <v>&lt;5</v>
      </c>
      <c r="AD28" s="106">
        <f t="shared" si="88"/>
        <v>500</v>
      </c>
      <c r="AE28" s="106">
        <f t="shared" si="89"/>
        <v>6.6</v>
      </c>
      <c r="AF28" s="109">
        <f t="shared" si="90"/>
        <v>1840</v>
      </c>
      <c r="AG28" s="106" t="str">
        <f t="shared" si="91"/>
        <v>&lt;0.05</v>
      </c>
      <c r="AH28" s="109">
        <f t="shared" si="92"/>
        <v>1900</v>
      </c>
      <c r="AI28" s="109">
        <f t="shared" si="93"/>
        <v>3500</v>
      </c>
      <c r="AJ28" s="106">
        <f t="shared" si="94"/>
        <v>6.5</v>
      </c>
      <c r="AK28" s="106" t="str">
        <f t="shared" si="95"/>
        <v>&lt;0.2</v>
      </c>
      <c r="AL28" s="106">
        <f t="shared" si="96"/>
        <v>1.3</v>
      </c>
      <c r="AM28" s="106">
        <f t="shared" si="97"/>
        <v>11</v>
      </c>
      <c r="AN28" s="111">
        <f t="shared" si="98"/>
        <v>0.26</v>
      </c>
      <c r="AO28" s="106" t="str">
        <f t="shared" si="99"/>
        <v>&lt;0.02</v>
      </c>
      <c r="AP28" s="111" t="s">
        <v>260</v>
      </c>
      <c r="AQ28" s="106">
        <f t="shared" si="100"/>
        <v>3.2</v>
      </c>
      <c r="AR28" s="109">
        <f t="shared" si="101"/>
        <v>91</v>
      </c>
      <c r="AS28" s="109">
        <f t="shared" si="102"/>
        <v>740</v>
      </c>
      <c r="AT28" s="109" t="str">
        <f t="shared" si="103"/>
        <v>&lt;0.05</v>
      </c>
      <c r="AU28" s="109">
        <f t="shared" si="104"/>
        <v>48</v>
      </c>
      <c r="AV28" s="110" t="str">
        <f t="shared" si="105"/>
        <v>&lt;0.2</v>
      </c>
      <c r="AW28" s="108">
        <f t="shared" si="106"/>
        <v>3.3</v>
      </c>
      <c r="AX28" s="108" t="str">
        <f t="shared" si="107"/>
        <v>&lt;0.2</v>
      </c>
      <c r="AY28" s="231">
        <f t="shared" si="108"/>
        <v>21</v>
      </c>
      <c r="AZ28" s="223">
        <v>1934008</v>
      </c>
      <c r="BA28" s="106" t="str">
        <f t="shared" si="109"/>
        <v>&lt;0.2</v>
      </c>
      <c r="BB28" s="106">
        <f t="shared" si="110"/>
        <v>1.3</v>
      </c>
      <c r="BC28" s="231">
        <f t="shared" si="111"/>
        <v>10</v>
      </c>
      <c r="BD28" s="111" t="str">
        <f t="shared" si="112"/>
        <v>&lt;0.2</v>
      </c>
      <c r="BE28" s="106" t="str">
        <f t="shared" si="113"/>
        <v>&lt;0.02</v>
      </c>
      <c r="BF28" s="111" t="s">
        <v>254</v>
      </c>
      <c r="BG28" s="106">
        <f t="shared" si="114"/>
        <v>3.2</v>
      </c>
      <c r="BH28" s="109">
        <f t="shared" si="115"/>
        <v>25</v>
      </c>
      <c r="BI28" s="109">
        <f t="shared" si="116"/>
        <v>700</v>
      </c>
      <c r="BJ28" s="109" t="str">
        <f t="shared" si="117"/>
        <v>&lt;0.05</v>
      </c>
      <c r="BK28" s="231">
        <f t="shared" si="118"/>
        <v>47</v>
      </c>
      <c r="BL28" s="110" t="str">
        <f t="shared" si="119"/>
        <v>&lt;0.2</v>
      </c>
      <c r="BM28" s="108">
        <f t="shared" si="120"/>
        <v>3.2</v>
      </c>
      <c r="BN28" s="110" t="str">
        <f t="shared" si="121"/>
        <v>&lt;0.2</v>
      </c>
      <c r="BO28" s="113">
        <f t="shared" si="122"/>
        <v>20</v>
      </c>
    </row>
    <row r="29" spans="1:67" ht="27" customHeight="1" x14ac:dyDescent="0.4">
      <c r="A29" s="262" t="s">
        <v>134</v>
      </c>
      <c r="B29" s="115" t="str">
        <f t="shared" si="0"/>
        <v>Laguna Woods</v>
      </c>
      <c r="C29" s="223"/>
      <c r="D29" s="107">
        <v>44439.342361111114</v>
      </c>
      <c r="E29" s="107" t="s">
        <v>135</v>
      </c>
      <c r="F29" s="271"/>
      <c r="G29" s="271"/>
      <c r="H29" s="272"/>
      <c r="I29" s="273"/>
      <c r="J29" s="273"/>
      <c r="K29" s="272"/>
      <c r="L29" s="272"/>
      <c r="M29" s="272"/>
      <c r="N29" s="272"/>
      <c r="O29" s="273"/>
      <c r="P29" s="272"/>
      <c r="Q29" s="274"/>
      <c r="R29" s="271"/>
      <c r="S29" s="271"/>
      <c r="T29" s="272"/>
      <c r="U29" s="271"/>
      <c r="V29" s="273"/>
      <c r="W29" s="272"/>
      <c r="X29" s="273"/>
      <c r="Y29" s="271"/>
      <c r="Z29" s="273"/>
      <c r="AA29" s="273"/>
      <c r="AB29" s="271"/>
      <c r="AC29" s="271"/>
      <c r="AD29" s="275"/>
      <c r="AE29" s="275"/>
      <c r="AF29" s="272"/>
      <c r="AG29" s="275"/>
      <c r="AH29" s="272"/>
      <c r="AI29" s="272"/>
      <c r="AJ29" s="275"/>
      <c r="AK29" s="275"/>
      <c r="AL29" s="275"/>
      <c r="AM29" s="275"/>
      <c r="AN29" s="274"/>
      <c r="AO29" s="275"/>
      <c r="AP29" s="274"/>
      <c r="AQ29" s="275"/>
      <c r="AR29" s="272"/>
      <c r="AS29" s="272"/>
      <c r="AT29" s="272"/>
      <c r="AU29" s="272"/>
      <c r="AV29" s="273"/>
      <c r="AW29" s="271"/>
      <c r="AX29" s="271"/>
      <c r="AY29" s="276"/>
      <c r="AZ29" s="331"/>
      <c r="BA29" s="275"/>
      <c r="BB29" s="275"/>
      <c r="BC29" s="276"/>
      <c r="BD29" s="274"/>
      <c r="BE29" s="275"/>
      <c r="BF29" s="274"/>
      <c r="BG29" s="275"/>
      <c r="BH29" s="272"/>
      <c r="BI29" s="272"/>
      <c r="BJ29" s="272"/>
      <c r="BK29" s="276"/>
      <c r="BL29" s="273"/>
      <c r="BM29" s="271"/>
      <c r="BN29" s="273"/>
      <c r="BO29" s="278"/>
    </row>
    <row r="30" spans="1:67" ht="27" customHeight="1" x14ac:dyDescent="0.4">
      <c r="A30" s="264" t="s">
        <v>136</v>
      </c>
      <c r="B30" s="115" t="str">
        <f t="shared" si="0"/>
        <v>Laguna Woods</v>
      </c>
      <c r="C30" s="223"/>
      <c r="D30" s="107">
        <v>44439.5</v>
      </c>
      <c r="E30" s="107" t="s">
        <v>135</v>
      </c>
      <c r="F30" s="271"/>
      <c r="G30" s="271"/>
      <c r="H30" s="272"/>
      <c r="I30" s="273"/>
      <c r="J30" s="273"/>
      <c r="K30" s="272"/>
      <c r="L30" s="272"/>
      <c r="M30" s="272"/>
      <c r="N30" s="272"/>
      <c r="O30" s="273"/>
      <c r="P30" s="272"/>
      <c r="Q30" s="274"/>
      <c r="R30" s="271"/>
      <c r="S30" s="271"/>
      <c r="T30" s="272"/>
      <c r="U30" s="271"/>
      <c r="V30" s="273"/>
      <c r="W30" s="272"/>
      <c r="X30" s="273"/>
      <c r="Y30" s="271"/>
      <c r="Z30" s="273"/>
      <c r="AA30" s="273"/>
      <c r="AB30" s="271"/>
      <c r="AC30" s="271"/>
      <c r="AD30" s="275"/>
      <c r="AE30" s="275"/>
      <c r="AF30" s="272"/>
      <c r="AG30" s="275"/>
      <c r="AH30" s="272"/>
      <c r="AI30" s="272"/>
      <c r="AJ30" s="275"/>
      <c r="AK30" s="275"/>
      <c r="AL30" s="275"/>
      <c r="AM30" s="275"/>
      <c r="AN30" s="274"/>
      <c r="AO30" s="275"/>
      <c r="AP30" s="274"/>
      <c r="AQ30" s="275"/>
      <c r="AR30" s="272"/>
      <c r="AS30" s="272"/>
      <c r="AT30" s="272"/>
      <c r="AU30" s="272"/>
      <c r="AV30" s="273"/>
      <c r="AW30" s="271"/>
      <c r="AX30" s="271"/>
      <c r="AY30" s="276"/>
      <c r="AZ30" s="331"/>
      <c r="BA30" s="275"/>
      <c r="BB30" s="275"/>
      <c r="BC30" s="276"/>
      <c r="BD30" s="274"/>
      <c r="BE30" s="275"/>
      <c r="BF30" s="274"/>
      <c r="BG30" s="275"/>
      <c r="BH30" s="272"/>
      <c r="BI30" s="272"/>
      <c r="BJ30" s="272"/>
      <c r="BK30" s="276"/>
      <c r="BL30" s="273"/>
      <c r="BM30" s="271"/>
      <c r="BN30" s="273"/>
      <c r="BO30" s="278"/>
    </row>
    <row r="31" spans="1:67" ht="27" customHeight="1" x14ac:dyDescent="0.4">
      <c r="A31" s="266" t="s">
        <v>133</v>
      </c>
      <c r="B31" s="115" t="str">
        <f t="shared" si="0"/>
        <v>Laguna Woods</v>
      </c>
      <c r="C31" s="223">
        <v>1858005</v>
      </c>
      <c r="D31" s="107">
        <f>VLOOKUP(C31,WaterQuality, 2, FALSE)</f>
        <v>44439.410416666666</v>
      </c>
      <c r="E31" s="118"/>
      <c r="F31" s="108">
        <f>VLOOKUP($C31, WaterQuality, 119, FALSE)</f>
        <v>3.8</v>
      </c>
      <c r="G31" s="108">
        <f>VLOOKUP($C31, WaterQuality, 115, FALSE)</f>
        <v>6.37</v>
      </c>
      <c r="H31" s="109">
        <f>VLOOKUP($C31, WaterQuality, 117, FALSE)</f>
        <v>2605.3000000000002</v>
      </c>
      <c r="I31" s="110">
        <f>VLOOKUP($C31, WaterQuality, 116, FALSE)</f>
        <v>7.87</v>
      </c>
      <c r="J31" s="110">
        <f>VLOOKUP($C31, WaterQuality, 118, FALSE)</f>
        <v>21.29</v>
      </c>
      <c r="K31" s="109" t="str">
        <f>VLOOKUP($C31, WaterQuality, 112, FALSE)</f>
        <v>&gt;=1100</v>
      </c>
      <c r="L31" s="109">
        <f>VLOOKUP($C31,WaterQuality, 111, FALSE)</f>
        <v>15000</v>
      </c>
      <c r="M31" s="109" t="str">
        <f>VLOOKUP($C31,WaterQuality, 113, FALSE)</f>
        <v>&gt;=2100</v>
      </c>
      <c r="N31" s="109" t="str">
        <f>VLOOKUP($C31,WaterQuality, 114, FALSE)</f>
        <v>&gt;=51000</v>
      </c>
      <c r="O31" s="110" t="str">
        <f>VLOOKUP($C31,WaterQuality, 97, FALSE)</f>
        <v>&lt;0.1</v>
      </c>
      <c r="P31" s="109">
        <f>VLOOKUP($C31,WaterQuality, 99, FALSE)</f>
        <v>12</v>
      </c>
      <c r="Q31" s="111">
        <f>VLOOKUP($C31,WaterQuality, 101, FALSE)</f>
        <v>2.2999999999999998</v>
      </c>
      <c r="R31" s="108">
        <f>VLOOKUP($C31,WaterQuality, 100, FALSE)</f>
        <v>2.8</v>
      </c>
      <c r="S31" s="108">
        <f>VLOOKUP($C31,WaterQuality, 103, FALSE)</f>
        <v>9</v>
      </c>
      <c r="T31" s="109" t="str">
        <f>VLOOKUP($C31,WaterQuality, 108, FALSE)</f>
        <v>&lt;5.6</v>
      </c>
      <c r="U31" s="108">
        <f>VLOOKUP($C31,WaterQuality, 109, FALSE)</f>
        <v>7.1</v>
      </c>
      <c r="V31" s="110">
        <f>VLOOKUP($C31,WaterQuality, 102, FALSE)</f>
        <v>7.53</v>
      </c>
      <c r="W31" s="109">
        <f>VLOOKUP($C31,WaterQuality, 104, FALSE)</f>
        <v>3000</v>
      </c>
      <c r="X31" s="108">
        <f>VLOOKUP($C31,WaterQuality, 110, FALSE)</f>
        <v>4.2</v>
      </c>
      <c r="Y31" s="108" t="str">
        <f>VLOOKUP($C31,WaterQuality, 14, FALSE)</f>
        <v>&lt;2</v>
      </c>
      <c r="Z31" s="110" t="str">
        <f>VLOOKUP($C31,WaterQuality, 17, FALSE)</f>
        <v>&lt;2</v>
      </c>
      <c r="AA31" s="110" t="str">
        <f>VLOOKUP($C31,WaterQuality, 44, FALSE)</f>
        <v>&lt;2</v>
      </c>
      <c r="AB31" s="108" t="str">
        <f>VLOOKUP($C31,WaterQuality, 40, FALSE)</f>
        <v>&lt;1</v>
      </c>
      <c r="AC31" s="108" t="str">
        <f>VLOOKUP($C31,WaterQuality, 26, FALSE)</f>
        <v>&lt;5</v>
      </c>
      <c r="AD31" s="106">
        <f>VLOOKUP($C31,WaterQuality, 98, FALSE)</f>
        <v>360</v>
      </c>
      <c r="AE31" s="106">
        <f>VLOOKUP($C31,WaterQuality, 83, FALSE)</f>
        <v>20</v>
      </c>
      <c r="AF31" s="109">
        <f>VLOOKUP($C31,WaterQuality, 84, FALSE)</f>
        <v>633</v>
      </c>
      <c r="AG31" s="106">
        <f>VLOOKUP($C31,WaterQuality, 89, FALSE)</f>
        <v>9.6000000000000002E-2</v>
      </c>
      <c r="AH31" s="109">
        <f>VLOOKUP($C31,WaterQuality, 105, FALSE)</f>
        <v>500</v>
      </c>
      <c r="AI31" s="109">
        <f>VLOOKUP($C31,WaterQuality, 107, FALSE)</f>
        <v>1600</v>
      </c>
      <c r="AJ31" s="106">
        <f>VLOOKUP($C31,WaterQuality, 95, FALSE)</f>
        <v>19</v>
      </c>
      <c r="AK31" s="106" t="str">
        <f>VLOOKUP($C31,WaterQuality, 93, FALSE)</f>
        <v>&lt;0.2</v>
      </c>
      <c r="AL31" s="106">
        <f>VLOOKUP($C31,WaterQuality, 77, FALSE)</f>
        <v>25</v>
      </c>
      <c r="AM31" s="106">
        <f>VLOOKUP($C31,WaterQuality, 78, FALSE)</f>
        <v>0.25</v>
      </c>
      <c r="AN31" s="111">
        <f>VLOOKUP($C31,WaterQuality, 81, FALSE)</f>
        <v>0.28000000000000003</v>
      </c>
      <c r="AO31" s="106" t="str">
        <f>VLOOKUP($C31,WaterQuality, 80, FALSE)</f>
        <v>&lt;0.02</v>
      </c>
      <c r="AP31" s="111" t="s">
        <v>174</v>
      </c>
      <c r="AQ31" s="106">
        <f>VLOOKUP($C31,WaterQuality, 82, FALSE)</f>
        <v>7.2</v>
      </c>
      <c r="AR31" s="109">
        <f>VLOOKUP($C31,WaterQuality, 85, FALSE)</f>
        <v>1100</v>
      </c>
      <c r="AS31" s="109">
        <f>VLOOKUP($C31,WaterQuality, 88, FALSE)</f>
        <v>260</v>
      </c>
      <c r="AT31" s="109" t="str">
        <f>VLOOKUP($C31,WaterQuality, 90, FALSE)</f>
        <v>&lt;0.05</v>
      </c>
      <c r="AU31" s="108">
        <f>VLOOKUP($C31,WaterQuality, 91, FALSE)</f>
        <v>5.9</v>
      </c>
      <c r="AV31" s="108">
        <f>VLOOKUP($C31,WaterQuality, 86, FALSE)</f>
        <v>1.3</v>
      </c>
      <c r="AW31" s="108">
        <f>VLOOKUP($C31,WaterQuality, 92, FALSE)</f>
        <v>1</v>
      </c>
      <c r="AX31" s="108" t="str">
        <f>VLOOKUP($C31,WaterQuality, 94, FALSE)</f>
        <v>&lt;0.2</v>
      </c>
      <c r="AY31" s="231">
        <f>VLOOKUP($C31,WaterQuality, 96, FALSE)</f>
        <v>30</v>
      </c>
      <c r="AZ31" s="223">
        <v>1911003</v>
      </c>
      <c r="BA31" s="106" t="str">
        <f>VLOOKUP($AZ31,WaterQuality, 93, FALSE)</f>
        <v>&lt;0.2</v>
      </c>
      <c r="BB31" s="112">
        <f>VLOOKUP($AZ31,WaterQuality, 77, FALSE)</f>
        <v>2</v>
      </c>
      <c r="BC31" s="111">
        <f>VLOOKUP($AZ31,WaterQuality, 78, FALSE)</f>
        <v>0.34</v>
      </c>
      <c r="BD31" s="111">
        <f>VLOOKUP($AZ31,WaterQuality, 81, FALSE)</f>
        <v>0.24</v>
      </c>
      <c r="BE31" s="106">
        <f>VLOOKUP($AZ31,WaterQuality, 80, FALSE)</f>
        <v>0.38</v>
      </c>
      <c r="BF31" s="330">
        <f t="shared" si="62"/>
        <v>-0.14000000000000001</v>
      </c>
      <c r="BG31" s="106">
        <f>VLOOKUP($AZ31,WaterQuality, 82, FALSE)</f>
        <v>11</v>
      </c>
      <c r="BH31" s="109">
        <f>VLOOKUP($AZ31,WaterQuality, 85, FALSE)</f>
        <v>22</v>
      </c>
      <c r="BI31" s="109">
        <f>VLOOKUP($AZ31,WaterQuality, 88, FALSE)</f>
        <v>19</v>
      </c>
      <c r="BJ31" s="109" t="str">
        <f>VLOOKUP($AZ31,WaterQuality, 90, FALSE)</f>
        <v>&lt;0.05</v>
      </c>
      <c r="BK31" s="112">
        <f>VLOOKUP($AZ31,WaterQuality, 91, FALSE)</f>
        <v>6.6</v>
      </c>
      <c r="BL31" s="110" t="str">
        <f>VLOOKUP($AZ31,WaterQuality, 86, FALSE)</f>
        <v>&lt;0.2</v>
      </c>
      <c r="BM31" s="108">
        <f>VLOOKUP($AZ31,WaterQuality, 92, FALSE)</f>
        <v>4.0999999999999996</v>
      </c>
      <c r="BN31" s="110" t="str">
        <f>VLOOKUP($AZ31,WaterQuality, 94, FALSE)</f>
        <v>&lt;0.2</v>
      </c>
      <c r="BO31" s="113">
        <f>VLOOKUP($AZ31,WaterQuality, 96, FALSE)</f>
        <v>10</v>
      </c>
    </row>
    <row r="32" spans="1:67" ht="27" customHeight="1" x14ac:dyDescent="0.4">
      <c r="A32" s="266" t="s">
        <v>137</v>
      </c>
      <c r="B32" s="115" t="str">
        <f t="shared" si="0"/>
        <v>Lake Forest</v>
      </c>
      <c r="C32" s="223"/>
      <c r="D32" s="107">
        <v>44446.316666666666</v>
      </c>
      <c r="E32" s="118" t="s">
        <v>143</v>
      </c>
      <c r="F32" s="271"/>
      <c r="G32" s="271"/>
      <c r="H32" s="272"/>
      <c r="I32" s="273"/>
      <c r="J32" s="273"/>
      <c r="K32" s="272"/>
      <c r="L32" s="272"/>
      <c r="M32" s="272"/>
      <c r="N32" s="272"/>
      <c r="O32" s="273"/>
      <c r="P32" s="272"/>
      <c r="Q32" s="274"/>
      <c r="R32" s="271"/>
      <c r="S32" s="271"/>
      <c r="T32" s="272"/>
      <c r="U32" s="271"/>
      <c r="V32" s="273"/>
      <c r="W32" s="272"/>
      <c r="X32" s="273"/>
      <c r="Y32" s="271"/>
      <c r="Z32" s="273"/>
      <c r="AA32" s="273"/>
      <c r="AB32" s="271"/>
      <c r="AC32" s="271"/>
      <c r="AD32" s="275"/>
      <c r="AE32" s="275"/>
      <c r="AF32" s="272"/>
      <c r="AG32" s="275"/>
      <c r="AH32" s="272"/>
      <c r="AI32" s="272"/>
      <c r="AJ32" s="275"/>
      <c r="AK32" s="275"/>
      <c r="AL32" s="275"/>
      <c r="AM32" s="275"/>
      <c r="AN32" s="274"/>
      <c r="AO32" s="275"/>
      <c r="AP32" s="274"/>
      <c r="AQ32" s="275"/>
      <c r="AR32" s="272"/>
      <c r="AS32" s="272"/>
      <c r="AT32" s="272"/>
      <c r="AU32" s="272"/>
      <c r="AV32" s="273"/>
      <c r="AW32" s="271"/>
      <c r="AX32" s="271"/>
      <c r="AY32" s="276"/>
      <c r="AZ32" s="331"/>
      <c r="BA32" s="275"/>
      <c r="BB32" s="275"/>
      <c r="BC32" s="276"/>
      <c r="BD32" s="274"/>
      <c r="BE32" s="275"/>
      <c r="BF32" s="274"/>
      <c r="BG32" s="275"/>
      <c r="BH32" s="272"/>
      <c r="BI32" s="272"/>
      <c r="BJ32" s="272"/>
      <c r="BK32" s="276"/>
      <c r="BL32" s="273"/>
      <c r="BM32" s="271"/>
      <c r="BN32" s="273"/>
      <c r="BO32" s="278"/>
    </row>
    <row r="33" spans="1:67" ht="27" customHeight="1" x14ac:dyDescent="0.4">
      <c r="A33" s="266" t="s">
        <v>141</v>
      </c>
      <c r="B33" s="115" t="str">
        <f t="shared" si="0"/>
        <v>Lake Forest</v>
      </c>
      <c r="C33" s="223"/>
      <c r="D33" s="107">
        <v>44446.412499999999</v>
      </c>
      <c r="E33" s="118" t="s">
        <v>135</v>
      </c>
      <c r="F33" s="271"/>
      <c r="G33" s="271"/>
      <c r="H33" s="272"/>
      <c r="I33" s="273"/>
      <c r="J33" s="273"/>
      <c r="K33" s="272"/>
      <c r="L33" s="272"/>
      <c r="M33" s="272"/>
      <c r="N33" s="272"/>
      <c r="O33" s="273"/>
      <c r="P33" s="272"/>
      <c r="Q33" s="274"/>
      <c r="R33" s="271"/>
      <c r="S33" s="271"/>
      <c r="T33" s="272"/>
      <c r="U33" s="271"/>
      <c r="V33" s="273"/>
      <c r="W33" s="272"/>
      <c r="X33" s="273"/>
      <c r="Y33" s="271"/>
      <c r="Z33" s="273"/>
      <c r="AA33" s="273"/>
      <c r="AB33" s="271"/>
      <c r="AC33" s="271"/>
      <c r="AD33" s="275"/>
      <c r="AE33" s="275"/>
      <c r="AF33" s="272"/>
      <c r="AG33" s="275"/>
      <c r="AH33" s="272"/>
      <c r="AI33" s="272"/>
      <c r="AJ33" s="275"/>
      <c r="AK33" s="275"/>
      <c r="AL33" s="275"/>
      <c r="AM33" s="275"/>
      <c r="AN33" s="274"/>
      <c r="AO33" s="275"/>
      <c r="AP33" s="274"/>
      <c r="AQ33" s="275"/>
      <c r="AR33" s="272"/>
      <c r="AS33" s="272"/>
      <c r="AT33" s="272"/>
      <c r="AU33" s="272"/>
      <c r="AV33" s="273"/>
      <c r="AW33" s="271"/>
      <c r="AX33" s="271"/>
      <c r="AY33" s="276"/>
      <c r="AZ33" s="331"/>
      <c r="BA33" s="275"/>
      <c r="BB33" s="275"/>
      <c r="BC33" s="276"/>
      <c r="BD33" s="274"/>
      <c r="BE33" s="275"/>
      <c r="BF33" s="274"/>
      <c r="BG33" s="275"/>
      <c r="BH33" s="272"/>
      <c r="BI33" s="272"/>
      <c r="BJ33" s="272"/>
      <c r="BK33" s="276"/>
      <c r="BL33" s="273"/>
      <c r="BM33" s="271"/>
      <c r="BN33" s="273"/>
      <c r="BO33" s="278"/>
    </row>
    <row r="34" spans="1:67" ht="27" customHeight="1" x14ac:dyDescent="0.4">
      <c r="A34" s="266" t="s">
        <v>140</v>
      </c>
      <c r="B34" s="106" t="str">
        <f t="shared" si="0"/>
        <v>Lake Forest</v>
      </c>
      <c r="C34" s="223">
        <v>1920002</v>
      </c>
      <c r="D34" s="107">
        <f>VLOOKUP(C34,WaterQuality, 2, FALSE)</f>
        <v>44446.321527777778</v>
      </c>
      <c r="E34" s="107"/>
      <c r="F34" s="108">
        <f>VLOOKUP($C34, WaterQuality, 119, FALSE)</f>
        <v>23.9</v>
      </c>
      <c r="G34" s="108">
        <f>VLOOKUP($C34, WaterQuality, 115, FALSE)</f>
        <v>7.22</v>
      </c>
      <c r="H34" s="109">
        <f>VLOOKUP($C34, WaterQuality, 117, FALSE)</f>
        <v>1079</v>
      </c>
      <c r="I34" s="110">
        <f>VLOOKUP($C34, WaterQuality, 116, FALSE)</f>
        <v>8.34</v>
      </c>
      <c r="J34" s="110">
        <f>VLOOKUP($C34, WaterQuality, 118, FALSE)</f>
        <v>22.25</v>
      </c>
      <c r="K34" s="109" t="str">
        <f>VLOOKUP($C34, WaterQuality, 112, FALSE)</f>
        <v>&gt;=1800</v>
      </c>
      <c r="L34" s="109">
        <f>VLOOKUP($C34,WaterQuality, 111, FALSE)</f>
        <v>30000</v>
      </c>
      <c r="M34" s="109" t="str">
        <f>VLOOKUP($C34,WaterQuality, 113, FALSE)</f>
        <v>&gt;=6000</v>
      </c>
      <c r="N34" s="109" t="str">
        <f>VLOOKUP($C34,WaterQuality, 114, FALSE)</f>
        <v>&gt;=5200000</v>
      </c>
      <c r="O34" s="110" t="str">
        <f>VLOOKUP($C34,WaterQuality, 97, FALSE)</f>
        <v>&lt;0.1</v>
      </c>
      <c r="P34" s="110">
        <f>VLOOKUP($C34,WaterQuality, 99, FALSE)</f>
        <v>0.28999999999999998</v>
      </c>
      <c r="Q34" s="111">
        <f>VLOOKUP($C34,WaterQuality, 101, FALSE)</f>
        <v>0.45</v>
      </c>
      <c r="R34" s="108">
        <f>VLOOKUP($C34,WaterQuality, 100, FALSE)</f>
        <v>3.7</v>
      </c>
      <c r="S34" s="108">
        <f>VLOOKUP($C34,WaterQuality, 103, FALSE)</f>
        <v>1.5</v>
      </c>
      <c r="T34" s="109">
        <f>VLOOKUP($C34,WaterQuality, 108, FALSE)</f>
        <v>42</v>
      </c>
      <c r="U34" s="109">
        <f>VLOOKUP($C34,WaterQuality, 109, FALSE)</f>
        <v>100</v>
      </c>
      <c r="V34" s="110">
        <f>VLOOKUP($C34,WaterQuality, 102, FALSE)</f>
        <v>7.13</v>
      </c>
      <c r="W34" s="109">
        <f>VLOOKUP($C34,WaterQuality, 104, FALSE)</f>
        <v>1300</v>
      </c>
      <c r="X34" s="109">
        <f>VLOOKUP($C34,WaterQuality, 110, FALSE)</f>
        <v>12</v>
      </c>
      <c r="Y34" s="108" t="str">
        <f>VLOOKUP($C34,WaterQuality, 14, FALSE)</f>
        <v>&lt;2</v>
      </c>
      <c r="Z34" s="110" t="str">
        <f>VLOOKUP($C34,WaterQuality, 17, FALSE)</f>
        <v>&lt;2</v>
      </c>
      <c r="AA34" s="110" t="str">
        <f>VLOOKUP($C34,WaterQuality, 44, FALSE)</f>
        <v>&lt;2</v>
      </c>
      <c r="AB34" s="108" t="str">
        <f>VLOOKUP($C34,WaterQuality, 40, FALSE)</f>
        <v>&lt;1</v>
      </c>
      <c r="AC34" s="108" t="str">
        <f>VLOOKUP($C34,WaterQuality, 26, FALSE)</f>
        <v>&lt;5</v>
      </c>
      <c r="AD34" s="106">
        <f>VLOOKUP($C34,WaterQuality, 98, FALSE)</f>
        <v>140</v>
      </c>
      <c r="AE34" s="106">
        <f>VLOOKUP($C34,WaterQuality, 83, FALSE)</f>
        <v>9.8000000000000007</v>
      </c>
      <c r="AF34" s="109">
        <f>VLOOKUP($C34,WaterQuality, 84, FALSE)</f>
        <v>297</v>
      </c>
      <c r="AG34" s="106">
        <f>VLOOKUP($C34,WaterQuality, 89, FALSE)</f>
        <v>7.5999999999999998E-2</v>
      </c>
      <c r="AH34" s="109">
        <f>VLOOKUP($C34,WaterQuality, 105, FALSE)</f>
        <v>270</v>
      </c>
      <c r="AI34" s="109">
        <f>VLOOKUP($C34,WaterQuality, 107, FALSE)</f>
        <v>760</v>
      </c>
      <c r="AJ34" s="106">
        <f>VLOOKUP($C34,WaterQuality, 95, FALSE)</f>
        <v>12</v>
      </c>
      <c r="AK34" s="106" t="str">
        <f>VLOOKUP($C34,WaterQuality, 93, FALSE)</f>
        <v>&lt;0.2</v>
      </c>
      <c r="AL34" s="106">
        <f>VLOOKUP($C34,WaterQuality, 77, FALSE)</f>
        <v>2.8</v>
      </c>
      <c r="AM34" s="106">
        <f>VLOOKUP($C34,WaterQuality, 78, FALSE)</f>
        <v>0.24</v>
      </c>
      <c r="AN34" s="112">
        <f>VLOOKUP($C34,WaterQuality, 81, FALSE)</f>
        <v>2.9</v>
      </c>
      <c r="AO34" s="106">
        <f>VLOOKUP($C34,WaterQuality, 80, FALSE)</f>
        <v>2.8000000000000001E-2</v>
      </c>
      <c r="AP34" s="111">
        <f t="shared" si="61"/>
        <v>2.8719999999999999</v>
      </c>
      <c r="AQ34" s="106">
        <f>VLOOKUP($C34,WaterQuality, 82, FALSE)</f>
        <v>22</v>
      </c>
      <c r="AR34" s="109">
        <f>VLOOKUP($C34,WaterQuality, 85, FALSE)</f>
        <v>1500</v>
      </c>
      <c r="AS34" s="109">
        <f>VLOOKUP($C34,WaterQuality, 88, FALSE)</f>
        <v>34</v>
      </c>
      <c r="AT34" s="110">
        <f>VLOOKUP($C34,WaterQuality, 90, FALSE)</f>
        <v>5.1999999999999998E-2</v>
      </c>
      <c r="AU34" s="108">
        <f>VLOOKUP($C34,WaterQuality, 91, FALSE)</f>
        <v>3.8</v>
      </c>
      <c r="AV34" s="108">
        <f>VLOOKUP($C34,WaterQuality, 86, FALSE)</f>
        <v>2.4</v>
      </c>
      <c r="AW34" s="108">
        <f>VLOOKUP($C34,WaterQuality, 92, FALSE)</f>
        <v>1.4</v>
      </c>
      <c r="AX34" s="108" t="str">
        <f>VLOOKUP($C34,WaterQuality, 94, FALSE)</f>
        <v>&lt;0.2</v>
      </c>
      <c r="AY34" s="231">
        <f>VLOOKUP($C34,WaterQuality, 96, FALSE)</f>
        <v>66</v>
      </c>
      <c r="AZ34" s="223">
        <v>1920007</v>
      </c>
      <c r="BA34" s="106" t="str">
        <f>VLOOKUP($AZ34,WaterQuality, 93, FALSE)</f>
        <v>&lt;0.2</v>
      </c>
      <c r="BB34" s="106">
        <f>VLOOKUP($AZ34,WaterQuality, 77, FALSE)</f>
        <v>2.1</v>
      </c>
      <c r="BC34" s="111" t="str">
        <f>VLOOKUP($AZ34,WaterQuality, 78, FALSE)</f>
        <v>&lt;0.2</v>
      </c>
      <c r="BD34" s="111" t="str">
        <f>VLOOKUP($AZ34,WaterQuality, 81, FALSE)</f>
        <v>&lt;0.2</v>
      </c>
      <c r="BE34" s="106" t="str">
        <f>VLOOKUP($AZ34,WaterQuality, 80, FALSE)</f>
        <v>&lt;0.02</v>
      </c>
      <c r="BF34" s="111" t="s">
        <v>254</v>
      </c>
      <c r="BG34" s="106">
        <f>VLOOKUP($AZ34,WaterQuality, 82, FALSE)</f>
        <v>3.7</v>
      </c>
      <c r="BH34" s="109">
        <f>VLOOKUP($AZ34,WaterQuality, 85, FALSE)</f>
        <v>49</v>
      </c>
      <c r="BI34" s="109">
        <f>VLOOKUP($AZ34,WaterQuality, 88, FALSE)</f>
        <v>12</v>
      </c>
      <c r="BJ34" s="109" t="str">
        <f>VLOOKUP($AZ34,WaterQuality, 90, FALSE)</f>
        <v>&lt;0.05</v>
      </c>
      <c r="BK34" s="112" t="str">
        <f>VLOOKUP($AZ34,WaterQuality, 91, FALSE)</f>
        <v>&lt;2</v>
      </c>
      <c r="BL34" s="110" t="str">
        <f>VLOOKUP($AZ34,WaterQuality, 86, FALSE)</f>
        <v>&lt;0.2</v>
      </c>
      <c r="BM34" s="108">
        <f>VLOOKUP($AZ34,WaterQuality, 92, FALSE)</f>
        <v>1.3</v>
      </c>
      <c r="BN34" s="110" t="str">
        <f>VLOOKUP($AZ34,WaterQuality, 94, FALSE)</f>
        <v>&lt;0.2</v>
      </c>
      <c r="BO34" s="113" t="str">
        <f>VLOOKUP($AZ34,WaterQuality, 96, FALSE)</f>
        <v>&lt;10</v>
      </c>
    </row>
    <row r="35" spans="1:67" ht="27" customHeight="1" x14ac:dyDescent="0.4">
      <c r="A35" s="266" t="s">
        <v>142</v>
      </c>
      <c r="B35" s="106" t="str">
        <f t="shared" si="0"/>
        <v>Lake Forest</v>
      </c>
      <c r="C35" s="223">
        <v>1920005</v>
      </c>
      <c r="D35" s="107">
        <f>VLOOKUP(C35,WaterQuality, 2, FALSE)</f>
        <v>44446.37222222222</v>
      </c>
      <c r="E35" s="107"/>
      <c r="F35" s="108">
        <f>VLOOKUP($C35, WaterQuality, 119, FALSE)</f>
        <v>5</v>
      </c>
      <c r="G35" s="108">
        <f>VLOOKUP($C35, WaterQuality, 115, FALSE)</f>
        <v>8.69</v>
      </c>
      <c r="H35" s="109">
        <f>VLOOKUP($C35, WaterQuality, 117, FALSE)</f>
        <v>1406</v>
      </c>
      <c r="I35" s="110">
        <f>VLOOKUP($C35, WaterQuality, 116, FALSE)</f>
        <v>8.86</v>
      </c>
      <c r="J35" s="110">
        <f>VLOOKUP($C35, WaterQuality, 118, FALSE)</f>
        <v>21.4</v>
      </c>
      <c r="K35" s="109">
        <f>VLOOKUP($C35, WaterQuality, 112, FALSE)</f>
        <v>38000</v>
      </c>
      <c r="L35" s="109">
        <f>VLOOKUP($C35,WaterQuality, 111, FALSE)</f>
        <v>29000</v>
      </c>
      <c r="M35" s="109">
        <f>VLOOKUP($C35,WaterQuality, 113, FALSE)</f>
        <v>44000</v>
      </c>
      <c r="N35" s="109" t="str">
        <f>VLOOKUP($C35,WaterQuality, 114, FALSE)</f>
        <v>&gt;=89000</v>
      </c>
      <c r="O35" s="110" t="str">
        <f>VLOOKUP($C35,WaterQuality, 97, FALSE)</f>
        <v>&lt;0.1</v>
      </c>
      <c r="P35" s="108">
        <f>VLOOKUP($C35,WaterQuality, 99, FALSE)</f>
        <v>1.4</v>
      </c>
      <c r="Q35" s="111">
        <f>VLOOKUP($C35,WaterQuality, 101, FALSE)</f>
        <v>1.4</v>
      </c>
      <c r="R35" s="108">
        <f>VLOOKUP($C35,WaterQuality, 100, FALSE)</f>
        <v>1.2</v>
      </c>
      <c r="S35" s="108">
        <f>VLOOKUP($C35,WaterQuality, 103, FALSE)</f>
        <v>4.5999999999999996</v>
      </c>
      <c r="T35" s="109" t="str">
        <f>VLOOKUP($C35,WaterQuality, 108, FALSE)</f>
        <v>&lt;5.6</v>
      </c>
      <c r="U35" s="109">
        <f>VLOOKUP($C35,WaterQuality, 109, FALSE)</f>
        <v>10</v>
      </c>
      <c r="V35" s="110">
        <f>VLOOKUP($C35,WaterQuality, 102, FALSE)</f>
        <v>8.17</v>
      </c>
      <c r="W35" s="109">
        <f>VLOOKUP($C35,WaterQuality, 104, FALSE)</f>
        <v>1600</v>
      </c>
      <c r="X35" s="108">
        <f>VLOOKUP($C35,WaterQuality, 110, FALSE)</f>
        <v>5.5</v>
      </c>
      <c r="Y35" s="108" t="str">
        <f>VLOOKUP($C35,WaterQuality, 14, FALSE)</f>
        <v>&lt;2</v>
      </c>
      <c r="Z35" s="110" t="str">
        <f>VLOOKUP($C35,WaterQuality, 17, FALSE)</f>
        <v>&lt;2</v>
      </c>
      <c r="AA35" s="110" t="str">
        <f>VLOOKUP($C35,WaterQuality, 44, FALSE)</f>
        <v>&lt;2</v>
      </c>
      <c r="AB35" s="108" t="str">
        <f>VLOOKUP($C35,WaterQuality, 40, FALSE)</f>
        <v>&lt;1</v>
      </c>
      <c r="AC35" s="108" t="str">
        <f>VLOOKUP($C35,WaterQuality, 26, FALSE)</f>
        <v>&lt;5</v>
      </c>
      <c r="AD35" s="106">
        <f>VLOOKUP($C35,WaterQuality, 98, FALSE)</f>
        <v>170</v>
      </c>
      <c r="AE35" s="106">
        <f>VLOOKUP($C35,WaterQuality, 83, FALSE)</f>
        <v>15</v>
      </c>
      <c r="AF35" s="109">
        <f>VLOOKUP($C35,WaterQuality, 84, FALSE)</f>
        <v>379</v>
      </c>
      <c r="AG35" s="106">
        <f>VLOOKUP($C35,WaterQuality, 89, FALSE)</f>
        <v>0.13</v>
      </c>
      <c r="AH35" s="109">
        <f>VLOOKUP($C35,WaterQuality, 105, FALSE)</f>
        <v>330</v>
      </c>
      <c r="AI35" s="109">
        <f>VLOOKUP($C35,WaterQuality, 107, FALSE)</f>
        <v>980</v>
      </c>
      <c r="AJ35" s="106">
        <f>VLOOKUP($C35,WaterQuality, 95, FALSE)</f>
        <v>15</v>
      </c>
      <c r="AK35" s="106" t="str">
        <f>VLOOKUP($C35,WaterQuality, 93, FALSE)</f>
        <v>&lt;0.2</v>
      </c>
      <c r="AL35" s="106">
        <f>VLOOKUP($C35,WaterQuality, 77, FALSE)</f>
        <v>4.5999999999999996</v>
      </c>
      <c r="AM35" s="106" t="str">
        <f>VLOOKUP($C35,WaterQuality, 78, FALSE)</f>
        <v>&lt;0.2</v>
      </c>
      <c r="AN35" s="111">
        <f>VLOOKUP($C35,WaterQuality, 81, FALSE)</f>
        <v>0.71</v>
      </c>
      <c r="AO35" s="106">
        <f>VLOOKUP($C35,WaterQuality, 80, FALSE)</f>
        <v>0.11</v>
      </c>
      <c r="AP35" s="111">
        <f t="shared" si="61"/>
        <v>0.6</v>
      </c>
      <c r="AQ35" s="106">
        <f>VLOOKUP($C35,WaterQuality, 82, FALSE)</f>
        <v>13</v>
      </c>
      <c r="AR35" s="109">
        <f>VLOOKUP($C35,WaterQuality, 85, FALSE)</f>
        <v>350</v>
      </c>
      <c r="AS35" s="109">
        <f>VLOOKUP($C35,WaterQuality, 88, FALSE)</f>
        <v>18</v>
      </c>
      <c r="AT35" s="109" t="str">
        <f>VLOOKUP($C35,WaterQuality, 90, FALSE)</f>
        <v>&lt;0.05</v>
      </c>
      <c r="AU35" s="108">
        <f>VLOOKUP($C35,WaterQuality, 91, FALSE)</f>
        <v>4.5</v>
      </c>
      <c r="AV35" s="110">
        <f>VLOOKUP($C35,WaterQuality, 86, FALSE)</f>
        <v>1.2</v>
      </c>
      <c r="AW35" s="108">
        <f>VLOOKUP($C35,WaterQuality, 92, FALSE)</f>
        <v>0.83</v>
      </c>
      <c r="AX35" s="108" t="str">
        <f>VLOOKUP($C35,WaterQuality, 94, FALSE)</f>
        <v>&lt;0.2</v>
      </c>
      <c r="AY35" s="231">
        <f>VLOOKUP($C35,WaterQuality, 96, FALSE)</f>
        <v>40</v>
      </c>
      <c r="AZ35" s="223">
        <v>1920010</v>
      </c>
      <c r="BA35" s="106" t="str">
        <f>VLOOKUP($AZ35,WaterQuality, 93, FALSE)</f>
        <v>&lt;0.2</v>
      </c>
      <c r="BB35" s="106">
        <f>VLOOKUP($AZ35,WaterQuality, 77, FALSE)</f>
        <v>4.5999999999999996</v>
      </c>
      <c r="BC35" s="111" t="str">
        <f>VLOOKUP($AZ35,WaterQuality, 78, FALSE)</f>
        <v>&lt;0.2</v>
      </c>
      <c r="BD35" s="111">
        <f>VLOOKUP($AZ35,WaterQuality, 81, FALSE)</f>
        <v>0.28999999999999998</v>
      </c>
      <c r="BE35" s="106">
        <f>VLOOKUP($AZ35,WaterQuality, 80, FALSE)</f>
        <v>0.12</v>
      </c>
      <c r="BF35" s="111">
        <f t="shared" si="62"/>
        <v>0.16999999999999998</v>
      </c>
      <c r="BG35" s="106">
        <f>VLOOKUP($AZ35,WaterQuality, 82, FALSE)</f>
        <v>10</v>
      </c>
      <c r="BH35" s="109">
        <f>VLOOKUP($AZ35,WaterQuality, 85, FALSE)</f>
        <v>43</v>
      </c>
      <c r="BI35" s="108">
        <f>VLOOKUP($AZ35,WaterQuality, 88, FALSE)</f>
        <v>5.3</v>
      </c>
      <c r="BJ35" s="109" t="str">
        <f>VLOOKUP($AZ35,WaterQuality, 90, FALSE)</f>
        <v>&lt;0.05</v>
      </c>
      <c r="BK35" s="112">
        <f>VLOOKUP($AZ35,WaterQuality, 91, FALSE)</f>
        <v>4.3</v>
      </c>
      <c r="BL35" s="110">
        <f>VLOOKUP($AZ35,WaterQuality, 86, FALSE)</f>
        <v>0.27</v>
      </c>
      <c r="BM35" s="108">
        <f>VLOOKUP($AZ35,WaterQuality, 92, FALSE)</f>
        <v>0.76</v>
      </c>
      <c r="BN35" s="110" t="str">
        <f>VLOOKUP($AZ35,WaterQuality, 94, FALSE)</f>
        <v>&lt;0.2</v>
      </c>
      <c r="BO35" s="113">
        <f>VLOOKUP($AZ35,WaterQuality, 96, FALSE)</f>
        <v>16</v>
      </c>
    </row>
    <row r="36" spans="1:67" ht="27" customHeight="1" x14ac:dyDescent="0.4">
      <c r="A36" s="266" t="s">
        <v>139</v>
      </c>
      <c r="B36" s="106" t="str">
        <f t="shared" si="0"/>
        <v>Lake Forest</v>
      </c>
      <c r="C36" s="223">
        <v>1920004</v>
      </c>
      <c r="D36" s="107">
        <f>VLOOKUP(C36,WaterQuality, 2, FALSE)</f>
        <v>44446.434027777781</v>
      </c>
      <c r="E36" s="107"/>
      <c r="F36" s="108">
        <f>VLOOKUP($C36, WaterQuality, 119, FALSE)</f>
        <v>2.2000000000000002</v>
      </c>
      <c r="G36" s="108">
        <f>VLOOKUP($C36, WaterQuality, 115, FALSE)</f>
        <v>7.94</v>
      </c>
      <c r="H36" s="109">
        <f>VLOOKUP($C36, WaterQuality, 117, FALSE)</f>
        <v>2123</v>
      </c>
      <c r="I36" s="110">
        <f>VLOOKUP($C36, WaterQuality, 116, FALSE)</f>
        <v>8.6</v>
      </c>
      <c r="J36" s="110">
        <f>VLOOKUP($C36, WaterQuality, 118, FALSE)</f>
        <v>22.9</v>
      </c>
      <c r="K36" s="109">
        <f>VLOOKUP($C36, WaterQuality, 112, FALSE)</f>
        <v>2500</v>
      </c>
      <c r="L36" s="109">
        <f>VLOOKUP($C36,WaterQuality, 111, FALSE)</f>
        <v>10300</v>
      </c>
      <c r="M36" s="109">
        <f>VLOOKUP($C36,WaterQuality, 113, FALSE)</f>
        <v>5400</v>
      </c>
      <c r="N36" s="109" t="str">
        <f>VLOOKUP($C36,WaterQuality, 114, FALSE)</f>
        <v>&gt;=21000</v>
      </c>
      <c r="O36" s="110" t="str">
        <f>VLOOKUP($C36,WaterQuality, 97, FALSE)</f>
        <v>&lt;0.1</v>
      </c>
      <c r="P36" s="108">
        <f>VLOOKUP($C36,WaterQuality, 99, FALSE)</f>
        <v>8.6999999999999993</v>
      </c>
      <c r="Q36" s="111">
        <f>VLOOKUP($C36,WaterQuality, 101, FALSE)</f>
        <v>0.78</v>
      </c>
      <c r="R36" s="110">
        <f>VLOOKUP($C36,WaterQuality, 100, FALSE)</f>
        <v>0.9</v>
      </c>
      <c r="S36" s="108">
        <f>VLOOKUP($C36,WaterQuality, 103, FALSE)</f>
        <v>2.9</v>
      </c>
      <c r="T36" s="109" t="str">
        <f>VLOOKUP($C36,WaterQuality, 108, FALSE)</f>
        <v>&lt;6.3</v>
      </c>
      <c r="U36" s="108">
        <f>VLOOKUP($C36,WaterQuality, 109, FALSE)</f>
        <v>3.6</v>
      </c>
      <c r="V36" s="110">
        <f>VLOOKUP($C36,WaterQuality, 102, FALSE)</f>
        <v>8.0299999999999994</v>
      </c>
      <c r="W36" s="109">
        <f>VLOOKUP($C36,WaterQuality, 104, FALSE)</f>
        <v>2400</v>
      </c>
      <c r="X36" s="108">
        <f>VLOOKUP($C36,WaterQuality, 110, FALSE)</f>
        <v>1.3</v>
      </c>
      <c r="Y36" s="108" t="str">
        <f>VLOOKUP($C36,WaterQuality, 14, FALSE)</f>
        <v>&lt;2</v>
      </c>
      <c r="Z36" s="110" t="str">
        <f>VLOOKUP($C36,WaterQuality, 17, FALSE)</f>
        <v>&lt;2</v>
      </c>
      <c r="AA36" s="110" t="str">
        <f>VLOOKUP($C36,WaterQuality, 44, FALSE)</f>
        <v>&lt;2</v>
      </c>
      <c r="AB36" s="108" t="str">
        <f>VLOOKUP($C36,WaterQuality, 40, FALSE)</f>
        <v>&lt;1</v>
      </c>
      <c r="AC36" s="108" t="str">
        <f>VLOOKUP($C36,WaterQuality, 26, FALSE)</f>
        <v>&lt;5</v>
      </c>
      <c r="AD36" s="106">
        <f>VLOOKUP($C36,WaterQuality, 98, FALSE)</f>
        <v>290</v>
      </c>
      <c r="AE36" s="106">
        <f>VLOOKUP($C36,WaterQuality, 83, FALSE)</f>
        <v>6.2</v>
      </c>
      <c r="AF36" s="109">
        <f>VLOOKUP($C36,WaterQuality, 84, FALSE)</f>
        <v>702</v>
      </c>
      <c r="AG36" s="106" t="str">
        <f>VLOOKUP($C36,WaterQuality, 89, FALSE)</f>
        <v>&lt;0.05</v>
      </c>
      <c r="AH36" s="109">
        <f>VLOOKUP($C36,WaterQuality, 105, FALSE)</f>
        <v>440</v>
      </c>
      <c r="AI36" s="109">
        <f>VLOOKUP($C36,WaterQuality, 107, FALSE)</f>
        <v>1500</v>
      </c>
      <c r="AJ36" s="106">
        <f>VLOOKUP($C36,WaterQuality, 95, FALSE)</f>
        <v>5.4</v>
      </c>
      <c r="AK36" s="106" t="str">
        <f>VLOOKUP($C36,WaterQuality, 93, FALSE)</f>
        <v>&lt;0.2</v>
      </c>
      <c r="AL36" s="106">
        <f>VLOOKUP($C36,WaterQuality, 77, FALSE)</f>
        <v>4.9000000000000004</v>
      </c>
      <c r="AM36" s="106" t="str">
        <f>VLOOKUP($C36,WaterQuality, 78, FALSE)</f>
        <v>&lt;0.2</v>
      </c>
      <c r="AN36" s="111">
        <f>VLOOKUP($C36,WaterQuality, 81, FALSE)</f>
        <v>0.34</v>
      </c>
      <c r="AO36" s="106">
        <f>VLOOKUP($C36,WaterQuality, 80, FALSE)</f>
        <v>0.28000000000000003</v>
      </c>
      <c r="AP36" s="111">
        <f t="shared" si="61"/>
        <v>0.06</v>
      </c>
      <c r="AQ36" s="106">
        <f>VLOOKUP($C36,WaterQuality, 82, FALSE)</f>
        <v>3.2</v>
      </c>
      <c r="AR36" s="109">
        <f>VLOOKUP($C36,WaterQuality, 85, FALSE)</f>
        <v>75</v>
      </c>
      <c r="AS36" s="109">
        <f>VLOOKUP($C36,WaterQuality, 88, FALSE)</f>
        <v>55</v>
      </c>
      <c r="AT36" s="109" t="str">
        <f>VLOOKUP($C36,WaterQuality, 90, FALSE)</f>
        <v>&lt;0.05</v>
      </c>
      <c r="AU36" s="108">
        <f>VLOOKUP($C36,WaterQuality, 91, FALSE)</f>
        <v>2.2999999999999998</v>
      </c>
      <c r="AV36" s="110" t="str">
        <f>VLOOKUP($C36,WaterQuality, 86, FALSE)</f>
        <v>&lt;0.2</v>
      </c>
      <c r="AW36" s="108">
        <f>VLOOKUP($C36,WaterQuality, 92, FALSE)</f>
        <v>2.6</v>
      </c>
      <c r="AX36" s="108" t="str">
        <f>VLOOKUP($C36,WaterQuality, 94, FALSE)</f>
        <v>&lt;0.2</v>
      </c>
      <c r="AY36" s="231" t="str">
        <f>VLOOKUP($C36,WaterQuality, 96, FALSE)</f>
        <v>&lt;10</v>
      </c>
      <c r="AZ36" s="223">
        <v>1920009</v>
      </c>
      <c r="BA36" s="106" t="str">
        <f>VLOOKUP($AZ36,WaterQuality, 93, FALSE)</f>
        <v>&lt;0.2</v>
      </c>
      <c r="BB36" s="112">
        <f>VLOOKUP($AZ36,WaterQuality, 77, FALSE)</f>
        <v>5</v>
      </c>
      <c r="BC36" s="111" t="str">
        <f>VLOOKUP($AZ36,WaterQuality, 78, FALSE)</f>
        <v>&lt;0.2</v>
      </c>
      <c r="BD36" s="111">
        <f>VLOOKUP($AZ36,WaterQuality, 81, FALSE)</f>
        <v>0.3</v>
      </c>
      <c r="BE36" s="106">
        <f>VLOOKUP($AZ36,WaterQuality, 80, FALSE)</f>
        <v>0.23</v>
      </c>
      <c r="BF36" s="111">
        <f t="shared" si="62"/>
        <v>6.9999999999999979E-2</v>
      </c>
      <c r="BG36" s="106">
        <f>VLOOKUP($AZ36,WaterQuality, 82, FALSE)</f>
        <v>2.2999999999999998</v>
      </c>
      <c r="BH36" s="109" t="str">
        <f>VLOOKUP($AZ36,WaterQuality, 85, FALSE)</f>
        <v>&lt;20</v>
      </c>
      <c r="BI36" s="109">
        <f>VLOOKUP($AZ36,WaterQuality, 88, FALSE)</f>
        <v>50</v>
      </c>
      <c r="BJ36" s="109" t="str">
        <f>VLOOKUP($AZ36,WaterQuality, 90, FALSE)</f>
        <v>&lt;0.05</v>
      </c>
      <c r="BK36" s="112">
        <f>VLOOKUP($AZ36,WaterQuality, 91, FALSE)</f>
        <v>2.2999999999999998</v>
      </c>
      <c r="BL36" s="110" t="str">
        <f>VLOOKUP($AZ36,WaterQuality, 86, FALSE)</f>
        <v>&lt;0.2</v>
      </c>
      <c r="BM36" s="108">
        <f>VLOOKUP($AZ36,WaterQuality, 92, FALSE)</f>
        <v>2.7</v>
      </c>
      <c r="BN36" s="110" t="str">
        <f>VLOOKUP($AZ36,WaterQuality, 94, FALSE)</f>
        <v>&lt;0.2</v>
      </c>
      <c r="BO36" s="113" t="str">
        <f>VLOOKUP($AZ36,WaterQuality, 96, FALSE)</f>
        <v>&lt;10</v>
      </c>
    </row>
    <row r="37" spans="1:67" ht="27" customHeight="1" x14ac:dyDescent="0.4">
      <c r="A37" s="120" t="s">
        <v>146</v>
      </c>
      <c r="B37" s="106" t="str">
        <f t="shared" si="0"/>
        <v>Mission Viejo</v>
      </c>
      <c r="C37" s="223"/>
      <c r="D37" s="107">
        <v>44411.45416666667</v>
      </c>
      <c r="E37" s="107" t="s">
        <v>181</v>
      </c>
      <c r="F37" s="271"/>
      <c r="G37" s="271"/>
      <c r="H37" s="272"/>
      <c r="I37" s="273"/>
      <c r="J37" s="273"/>
      <c r="K37" s="272"/>
      <c r="L37" s="272"/>
      <c r="M37" s="272"/>
      <c r="N37" s="272"/>
      <c r="O37" s="273"/>
      <c r="P37" s="272"/>
      <c r="Q37" s="274"/>
      <c r="R37" s="271"/>
      <c r="S37" s="271"/>
      <c r="T37" s="272"/>
      <c r="U37" s="271"/>
      <c r="V37" s="273"/>
      <c r="W37" s="272"/>
      <c r="X37" s="273"/>
      <c r="Y37" s="271"/>
      <c r="Z37" s="273"/>
      <c r="AA37" s="273"/>
      <c r="AB37" s="271"/>
      <c r="AC37" s="271"/>
      <c r="AD37" s="275"/>
      <c r="AE37" s="275"/>
      <c r="AF37" s="272"/>
      <c r="AG37" s="275"/>
      <c r="AH37" s="272"/>
      <c r="AI37" s="272"/>
      <c r="AJ37" s="275"/>
      <c r="AK37" s="275"/>
      <c r="AL37" s="275"/>
      <c r="AM37" s="275"/>
      <c r="AN37" s="274"/>
      <c r="AO37" s="275"/>
      <c r="AP37" s="274"/>
      <c r="AQ37" s="275"/>
      <c r="AR37" s="272"/>
      <c r="AS37" s="272"/>
      <c r="AT37" s="272"/>
      <c r="AU37" s="272"/>
      <c r="AV37" s="273"/>
      <c r="AW37" s="271"/>
      <c r="AX37" s="271"/>
      <c r="AY37" s="276"/>
      <c r="AZ37" s="331"/>
      <c r="BA37" s="275"/>
      <c r="BB37" s="275"/>
      <c r="BC37" s="276"/>
      <c r="BD37" s="274"/>
      <c r="BE37" s="275"/>
      <c r="BF37" s="274"/>
      <c r="BG37" s="275"/>
      <c r="BH37" s="272"/>
      <c r="BI37" s="272"/>
      <c r="BJ37" s="272"/>
      <c r="BK37" s="276"/>
      <c r="BL37" s="273"/>
      <c r="BM37" s="271"/>
      <c r="BN37" s="273"/>
      <c r="BO37" s="278"/>
    </row>
    <row r="38" spans="1:67" ht="27" customHeight="1" x14ac:dyDescent="0.4">
      <c r="A38" s="266" t="s">
        <v>144</v>
      </c>
      <c r="B38" s="106" t="str">
        <f t="shared" si="0"/>
        <v>Mission Viejo</v>
      </c>
      <c r="C38" s="223">
        <v>1854003</v>
      </c>
      <c r="D38" s="107">
        <f t="shared" ref="D38:D53" si="123">VLOOKUP(C38,WaterQuality, 2, FALSE)</f>
        <v>44411.381249999999</v>
      </c>
      <c r="E38" s="107"/>
      <c r="F38" s="108">
        <f t="shared" ref="F38:F53" si="124">VLOOKUP($C38, WaterQuality, 119, FALSE)</f>
        <v>1.41</v>
      </c>
      <c r="G38" s="108">
        <f t="shared" ref="G38:G53" si="125">VLOOKUP($C38, WaterQuality, 115, FALSE)</f>
        <v>7.15</v>
      </c>
      <c r="H38" s="109">
        <f t="shared" ref="H38:H53" si="126">VLOOKUP($C38, WaterQuality, 117, FALSE)</f>
        <v>3488.01</v>
      </c>
      <c r="I38" s="110">
        <f t="shared" ref="I38:I53" si="127">VLOOKUP($C38, WaterQuality, 116, FALSE)</f>
        <v>6.88</v>
      </c>
      <c r="J38" s="110">
        <f t="shared" ref="J38:J53" si="128">VLOOKUP($C38, WaterQuality, 118, FALSE)</f>
        <v>22.05</v>
      </c>
      <c r="K38" s="109" t="str">
        <f t="shared" ref="K38:K53" si="129">VLOOKUP($C38, WaterQuality, 112, FALSE)</f>
        <v>&gt;=520</v>
      </c>
      <c r="L38" s="109">
        <f t="shared" ref="L38:L53" si="130">VLOOKUP($C38,WaterQuality, 111, FALSE)</f>
        <v>1490</v>
      </c>
      <c r="M38" s="109">
        <f t="shared" ref="M38:M53" si="131">VLOOKUP($C38,WaterQuality, 113, FALSE)</f>
        <v>700</v>
      </c>
      <c r="N38" s="109" t="str">
        <f t="shared" ref="N38:N53" si="132">VLOOKUP($C38,WaterQuality, 114, FALSE)</f>
        <v>&gt;=6800</v>
      </c>
      <c r="O38" s="110" t="str">
        <f t="shared" ref="O38:O53" si="133">VLOOKUP($C38,WaterQuality, 97, FALSE)</f>
        <v>&lt;0.1</v>
      </c>
      <c r="P38" s="108">
        <f t="shared" ref="P38:P53" si="134">VLOOKUP($C38,WaterQuality, 99, FALSE)</f>
        <v>0.75</v>
      </c>
      <c r="Q38" s="111">
        <f t="shared" ref="Q38:Q53" si="135">VLOOKUP($C38,WaterQuality, 101, FALSE)</f>
        <v>0.28999999999999998</v>
      </c>
      <c r="R38" s="110">
        <f t="shared" ref="R38:R53" si="136">VLOOKUP($C38,WaterQuality, 100, FALSE)</f>
        <v>0.6</v>
      </c>
      <c r="S38" s="108">
        <f t="shared" ref="S38:S53" si="137">VLOOKUP($C38,WaterQuality, 103, FALSE)</f>
        <v>1.4</v>
      </c>
      <c r="T38" s="109" t="str">
        <f t="shared" ref="T38:T53" si="138">VLOOKUP($C38,WaterQuality, 108, FALSE)</f>
        <v>&lt;5.6</v>
      </c>
      <c r="U38" s="108">
        <f t="shared" ref="U38:U53" si="139">VLOOKUP($C38,WaterQuality, 109, FALSE)</f>
        <v>2.1</v>
      </c>
      <c r="V38" s="110">
        <f t="shared" ref="V38:V53" si="140">VLOOKUP($C38,WaterQuality, 102, FALSE)</f>
        <v>7.23</v>
      </c>
      <c r="W38" s="109">
        <f t="shared" ref="W38:W53" si="141">VLOOKUP($C38,WaterQuality, 104, FALSE)</f>
        <v>3400</v>
      </c>
      <c r="X38" s="108">
        <f t="shared" ref="X38:X53" si="142">VLOOKUP($C38,WaterQuality, 110, FALSE)</f>
        <v>1.4</v>
      </c>
      <c r="Y38" s="108" t="str">
        <f t="shared" ref="Y38:Y53" si="143">VLOOKUP($C38,WaterQuality, 14, FALSE)</f>
        <v>&lt;2</v>
      </c>
      <c r="Z38" s="110" t="str">
        <f t="shared" ref="Z38:Z53" si="144">VLOOKUP($C38,WaterQuality, 17, FALSE)</f>
        <v>&lt;2</v>
      </c>
      <c r="AA38" s="110" t="str">
        <f t="shared" ref="AA38:AA53" si="145">VLOOKUP($C38,WaterQuality, 44, FALSE)</f>
        <v>&lt;2</v>
      </c>
      <c r="AB38" s="108" t="str">
        <f t="shared" ref="AB38:AB53" si="146">VLOOKUP($C38,WaterQuality, 40, FALSE)</f>
        <v>&lt;1</v>
      </c>
      <c r="AC38" s="108" t="str">
        <f t="shared" ref="AC38:AC53" si="147">VLOOKUP($C38,WaterQuality, 26, FALSE)</f>
        <v>&lt;5</v>
      </c>
      <c r="AD38" s="106">
        <f t="shared" ref="AD38:AD53" si="148">VLOOKUP($C38,WaterQuality, 98, FALSE)</f>
        <v>330</v>
      </c>
      <c r="AE38" s="106">
        <f t="shared" ref="AE38:AE53" si="149">VLOOKUP($C38,WaterQuality, 83, FALSE)</f>
        <v>5.4</v>
      </c>
      <c r="AF38" s="109">
        <f t="shared" ref="AF38:AF53" si="150">VLOOKUP($C38,WaterQuality, 84, FALSE)</f>
        <v>1390</v>
      </c>
      <c r="AG38" s="106" t="str">
        <f t="shared" ref="AG38:AG53" si="151">VLOOKUP($C38,WaterQuality, 89, FALSE)</f>
        <v>&lt;0.05</v>
      </c>
      <c r="AH38" s="109">
        <f t="shared" ref="AH38:AH53" si="152">VLOOKUP($C38,WaterQuality, 105, FALSE)</f>
        <v>1100</v>
      </c>
      <c r="AI38" s="109">
        <f t="shared" ref="AI38:AI53" si="153">VLOOKUP($C38,WaterQuality, 107, FALSE)</f>
        <v>2400</v>
      </c>
      <c r="AJ38" s="106">
        <f t="shared" ref="AJ38:AJ53" si="154">VLOOKUP($C38,WaterQuality, 95, FALSE)</f>
        <v>5</v>
      </c>
      <c r="AK38" s="106" t="str">
        <f t="shared" ref="AK38:AK53" si="155">VLOOKUP($C38,WaterQuality, 93, FALSE)</f>
        <v>&lt;0.2</v>
      </c>
      <c r="AL38" s="106">
        <f t="shared" ref="AL38:AL53" si="156">VLOOKUP($C38,WaterQuality, 77, FALSE)</f>
        <v>2.5</v>
      </c>
      <c r="AM38" s="106">
        <f t="shared" ref="AM38:AM53" si="157">VLOOKUP($C38,WaterQuality, 78, FALSE)</f>
        <v>1.5</v>
      </c>
      <c r="AN38" s="111">
        <f t="shared" ref="AN38:AN53" si="158">VLOOKUP($C38,WaterQuality, 81, FALSE)</f>
        <v>0.36</v>
      </c>
      <c r="AO38" s="106" t="str">
        <f t="shared" ref="AO38:AO53" si="159">VLOOKUP($C38,WaterQuality, 80, FALSE)</f>
        <v>&lt;0.02</v>
      </c>
      <c r="AP38" s="111" t="s">
        <v>263</v>
      </c>
      <c r="AQ38" s="106">
        <f t="shared" ref="AQ38:AQ53" si="160">VLOOKUP($C38,WaterQuality, 82, FALSE)</f>
        <v>2.8</v>
      </c>
      <c r="AR38" s="109">
        <f t="shared" ref="AR38:AR53" si="161">VLOOKUP($C38,WaterQuality, 85, FALSE)</f>
        <v>340</v>
      </c>
      <c r="AS38" s="109">
        <f t="shared" ref="AS38:AS53" si="162">VLOOKUP($C38,WaterQuality, 88, FALSE)</f>
        <v>850</v>
      </c>
      <c r="AT38" s="109" t="str">
        <f t="shared" ref="AT38:AT53" si="163">VLOOKUP($C38,WaterQuality, 90, FALSE)</f>
        <v>&lt;0.05</v>
      </c>
      <c r="AU38" s="108">
        <f t="shared" ref="AU38:AU53" si="164">VLOOKUP($C38,WaterQuality, 91, FALSE)</f>
        <v>9.1</v>
      </c>
      <c r="AV38" s="110" t="str">
        <f t="shared" ref="AV38:AV53" si="165">VLOOKUP($C38,WaterQuality, 86, FALSE)</f>
        <v>&lt;0.2</v>
      </c>
      <c r="AW38" s="108">
        <f t="shared" ref="AW38:AW53" si="166">VLOOKUP($C38,WaterQuality, 92, FALSE)</f>
        <v>4.8</v>
      </c>
      <c r="AX38" s="108" t="str">
        <f t="shared" ref="AX38:AX53" si="167">VLOOKUP($C38,WaterQuality, 94, FALSE)</f>
        <v>&lt;0.2</v>
      </c>
      <c r="AY38" s="231" t="str">
        <f t="shared" ref="AY38:AY53" si="168">VLOOKUP($C38,WaterQuality, 96, FALSE)</f>
        <v>&lt;10</v>
      </c>
      <c r="AZ38" s="223">
        <v>1854007</v>
      </c>
      <c r="BA38" s="106" t="str">
        <f t="shared" ref="BA38:BA53" si="169">VLOOKUP($AZ38,WaterQuality, 93, FALSE)</f>
        <v>&lt;0.2</v>
      </c>
      <c r="BB38" s="106">
        <f t="shared" ref="BB38:BB53" si="170">VLOOKUP($AZ38,WaterQuality, 77, FALSE)</f>
        <v>2.1</v>
      </c>
      <c r="BC38" s="112">
        <f t="shared" ref="BC38:BC53" si="171">VLOOKUP($AZ38,WaterQuality, 78, FALSE)</f>
        <v>1.3</v>
      </c>
      <c r="BD38" s="111" t="str">
        <f t="shared" ref="BD38:BD53" si="172">VLOOKUP($AZ38,WaterQuality, 81, FALSE)</f>
        <v>&lt;0.2</v>
      </c>
      <c r="BE38" s="106" t="str">
        <f t="shared" ref="BE38:BE53" si="173">VLOOKUP($AZ38,WaterQuality, 80, FALSE)</f>
        <v>&lt;0.02</v>
      </c>
      <c r="BF38" s="111" t="s">
        <v>254</v>
      </c>
      <c r="BG38" s="106">
        <f t="shared" ref="BG38:BG53" si="174">VLOOKUP($AZ38,WaterQuality, 82, FALSE)</f>
        <v>1.8</v>
      </c>
      <c r="BH38" s="109">
        <f t="shared" ref="BH38:BH53" si="175">VLOOKUP($AZ38,WaterQuality, 85, FALSE)</f>
        <v>41</v>
      </c>
      <c r="BI38" s="109">
        <f t="shared" ref="BI38:BI53" si="176">VLOOKUP($AZ38,WaterQuality, 88, FALSE)</f>
        <v>850</v>
      </c>
      <c r="BJ38" s="109" t="str">
        <f t="shared" ref="BJ38:BJ53" si="177">VLOOKUP($AZ38,WaterQuality, 90, FALSE)</f>
        <v>&lt;0.05</v>
      </c>
      <c r="BK38" s="112">
        <f t="shared" ref="BK38:BK53" si="178">VLOOKUP($AZ38,WaterQuality, 91, FALSE)</f>
        <v>9.1</v>
      </c>
      <c r="BL38" s="110" t="str">
        <f t="shared" ref="BL38:BL53" si="179">VLOOKUP($AZ38,WaterQuality, 86, FALSE)</f>
        <v>&lt;0.2</v>
      </c>
      <c r="BM38" s="108">
        <f t="shared" ref="BM38:BM53" si="180">VLOOKUP($AZ38,WaterQuality, 92, FALSE)</f>
        <v>4.7</v>
      </c>
      <c r="BN38" s="110" t="str">
        <f t="shared" ref="BN38:BN53" si="181">VLOOKUP($AZ38,WaterQuality, 94, FALSE)</f>
        <v>&lt;0.2</v>
      </c>
      <c r="BO38" s="113" t="str">
        <f t="shared" ref="BO38:BO53" si="182">VLOOKUP($AZ38,WaterQuality, 96, FALSE)</f>
        <v>&lt;10</v>
      </c>
    </row>
    <row r="39" spans="1:67" ht="27" customHeight="1" x14ac:dyDescent="0.4">
      <c r="A39" s="266" t="s">
        <v>149</v>
      </c>
      <c r="B39" s="106" t="str">
        <f t="shared" ref="B39:B58" si="183">VLOOKUP(A39, juris, 3, FALSE)</f>
        <v>Mission Viejo</v>
      </c>
      <c r="C39" s="223">
        <v>1854004</v>
      </c>
      <c r="D39" s="107">
        <f t="shared" si="123"/>
        <v>44411.421527777777</v>
      </c>
      <c r="E39" s="107"/>
      <c r="F39" s="108">
        <f t="shared" si="124"/>
        <v>1.53</v>
      </c>
      <c r="G39" s="108">
        <f t="shared" si="125"/>
        <v>7.89</v>
      </c>
      <c r="H39" s="109">
        <f t="shared" si="126"/>
        <v>4368.2299999999996</v>
      </c>
      <c r="I39" s="110">
        <f t="shared" si="127"/>
        <v>7.63</v>
      </c>
      <c r="J39" s="110">
        <f t="shared" si="128"/>
        <v>23.16</v>
      </c>
      <c r="K39" s="109">
        <f t="shared" si="129"/>
        <v>2400</v>
      </c>
      <c r="L39" s="109">
        <f t="shared" si="130"/>
        <v>7000</v>
      </c>
      <c r="M39" s="109" t="str">
        <f t="shared" si="131"/>
        <v>&gt;=2600</v>
      </c>
      <c r="N39" s="109" t="str">
        <f t="shared" si="132"/>
        <v>&gt;=42000</v>
      </c>
      <c r="O39" s="110" t="str">
        <f t="shared" si="133"/>
        <v>&lt;0.1</v>
      </c>
      <c r="P39" s="108">
        <f t="shared" si="134"/>
        <v>3.1</v>
      </c>
      <c r="Q39" s="111">
        <f t="shared" si="135"/>
        <v>0.36</v>
      </c>
      <c r="R39" s="110">
        <f t="shared" si="136"/>
        <v>0.64</v>
      </c>
      <c r="S39" s="108">
        <f t="shared" si="137"/>
        <v>1.6</v>
      </c>
      <c r="T39" s="109" t="str">
        <f t="shared" si="138"/>
        <v>&lt;5.6</v>
      </c>
      <c r="U39" s="108">
        <f t="shared" si="139"/>
        <v>1</v>
      </c>
      <c r="V39" s="110">
        <f t="shared" si="140"/>
        <v>7.93</v>
      </c>
      <c r="W39" s="109">
        <f t="shared" si="141"/>
        <v>4400</v>
      </c>
      <c r="X39" s="110">
        <f t="shared" si="142"/>
        <v>0.83</v>
      </c>
      <c r="Y39" s="108" t="str">
        <f t="shared" si="143"/>
        <v>&lt;2</v>
      </c>
      <c r="Z39" s="110" t="str">
        <f t="shared" si="144"/>
        <v>&lt;2</v>
      </c>
      <c r="AA39" s="110" t="str">
        <f t="shared" si="145"/>
        <v>&lt;2</v>
      </c>
      <c r="AB39" s="108" t="str">
        <f t="shared" si="146"/>
        <v>&lt;1</v>
      </c>
      <c r="AC39" s="108" t="str">
        <f t="shared" si="147"/>
        <v>&lt;5</v>
      </c>
      <c r="AD39" s="106">
        <f t="shared" si="148"/>
        <v>500</v>
      </c>
      <c r="AE39" s="106">
        <f t="shared" si="149"/>
        <v>11</v>
      </c>
      <c r="AF39" s="109">
        <f t="shared" si="150"/>
        <v>1880</v>
      </c>
      <c r="AG39" s="106" t="str">
        <f t="shared" si="151"/>
        <v>&lt;0.05</v>
      </c>
      <c r="AH39" s="109">
        <f t="shared" si="152"/>
        <v>1600</v>
      </c>
      <c r="AI39" s="109">
        <f t="shared" si="153"/>
        <v>3000</v>
      </c>
      <c r="AJ39" s="106">
        <f t="shared" si="154"/>
        <v>10</v>
      </c>
      <c r="AK39" s="106" t="str">
        <f t="shared" si="155"/>
        <v>&lt;0.2</v>
      </c>
      <c r="AL39" s="106">
        <f t="shared" si="156"/>
        <v>7.2</v>
      </c>
      <c r="AM39" s="106">
        <f t="shared" si="157"/>
        <v>3.8</v>
      </c>
      <c r="AN39" s="111">
        <f t="shared" si="158"/>
        <v>0.28000000000000003</v>
      </c>
      <c r="AO39" s="106">
        <f t="shared" si="159"/>
        <v>0.03</v>
      </c>
      <c r="AP39" s="111">
        <f t="shared" si="61"/>
        <v>0.25</v>
      </c>
      <c r="AQ39" s="106">
        <f t="shared" si="160"/>
        <v>5.6</v>
      </c>
      <c r="AR39" s="109">
        <f t="shared" si="161"/>
        <v>34</v>
      </c>
      <c r="AS39" s="109">
        <f t="shared" si="162"/>
        <v>100</v>
      </c>
      <c r="AT39" s="109" t="str">
        <f t="shared" si="163"/>
        <v>&lt;0.05</v>
      </c>
      <c r="AU39" s="109">
        <f t="shared" si="164"/>
        <v>30</v>
      </c>
      <c r="AV39" s="110" t="str">
        <f t="shared" si="165"/>
        <v>&lt;0.2</v>
      </c>
      <c r="AW39" s="109">
        <f t="shared" si="166"/>
        <v>52</v>
      </c>
      <c r="AX39" s="108" t="str">
        <f t="shared" si="167"/>
        <v>&lt;0.2</v>
      </c>
      <c r="AY39" s="231" t="str">
        <f t="shared" si="168"/>
        <v>&lt;10</v>
      </c>
      <c r="AZ39" s="223">
        <v>1854008</v>
      </c>
      <c r="BA39" s="106" t="str">
        <f t="shared" si="169"/>
        <v>&lt;0.2</v>
      </c>
      <c r="BB39" s="106">
        <f t="shared" si="170"/>
        <v>7.1</v>
      </c>
      <c r="BC39" s="112">
        <f t="shared" si="171"/>
        <v>3.5</v>
      </c>
      <c r="BD39" s="111">
        <f t="shared" si="172"/>
        <v>0.67</v>
      </c>
      <c r="BE39" s="106">
        <f t="shared" si="173"/>
        <v>3.2000000000000001E-2</v>
      </c>
      <c r="BF39" s="111">
        <f t="shared" si="62"/>
        <v>0.63800000000000001</v>
      </c>
      <c r="BG39" s="106">
        <f t="shared" si="174"/>
        <v>5.0999999999999996</v>
      </c>
      <c r="BH39" s="109" t="str">
        <f t="shared" si="175"/>
        <v>&lt;20</v>
      </c>
      <c r="BI39" s="109">
        <f t="shared" si="176"/>
        <v>99</v>
      </c>
      <c r="BJ39" s="109" t="str">
        <f t="shared" si="177"/>
        <v>&lt;0.05</v>
      </c>
      <c r="BK39" s="231">
        <f t="shared" si="178"/>
        <v>29</v>
      </c>
      <c r="BL39" s="110" t="str">
        <f t="shared" si="179"/>
        <v>&lt;0.2</v>
      </c>
      <c r="BM39" s="109">
        <f t="shared" si="180"/>
        <v>51</v>
      </c>
      <c r="BN39" s="110" t="str">
        <f t="shared" si="181"/>
        <v>&lt;0.2</v>
      </c>
      <c r="BO39" s="113" t="str">
        <f t="shared" si="182"/>
        <v>&lt;10</v>
      </c>
    </row>
    <row r="40" spans="1:67" ht="27" customHeight="1" x14ac:dyDescent="0.4">
      <c r="A40" s="266" t="s">
        <v>150</v>
      </c>
      <c r="B40" s="106" t="str">
        <f t="shared" si="183"/>
        <v>Mission Viejo</v>
      </c>
      <c r="C40" s="223">
        <v>1853001</v>
      </c>
      <c r="D40" s="107">
        <f t="shared" si="123"/>
        <v>44448.37222222222</v>
      </c>
      <c r="E40" s="107"/>
      <c r="F40" s="108">
        <f t="shared" si="124"/>
        <v>2.9</v>
      </c>
      <c r="G40" s="108">
        <f t="shared" si="125"/>
        <v>8.42</v>
      </c>
      <c r="H40" s="109">
        <f t="shared" si="126"/>
        <v>3662</v>
      </c>
      <c r="I40" s="110">
        <f t="shared" si="127"/>
        <v>7.98</v>
      </c>
      <c r="J40" s="110">
        <f t="shared" si="128"/>
        <v>21.5</v>
      </c>
      <c r="K40" s="109">
        <f t="shared" si="129"/>
        <v>3400</v>
      </c>
      <c r="L40" s="109">
        <f t="shared" si="130"/>
        <v>7100</v>
      </c>
      <c r="M40" s="109">
        <f t="shared" si="131"/>
        <v>4000</v>
      </c>
      <c r="N40" s="109">
        <f t="shared" si="132"/>
        <v>24000</v>
      </c>
      <c r="O40" s="110" t="str">
        <f t="shared" si="133"/>
        <v>&lt;0.1</v>
      </c>
      <c r="P40" s="108">
        <f t="shared" si="134"/>
        <v>0.64</v>
      </c>
      <c r="Q40" s="111">
        <f t="shared" si="135"/>
        <v>0.22</v>
      </c>
      <c r="R40" s="110">
        <f t="shared" si="136"/>
        <v>0.84</v>
      </c>
      <c r="S40" s="110">
        <f t="shared" si="137"/>
        <v>0.75</v>
      </c>
      <c r="T40" s="109" t="str">
        <f t="shared" si="138"/>
        <v>&lt;5.6</v>
      </c>
      <c r="U40" s="108">
        <f t="shared" si="139"/>
        <v>3</v>
      </c>
      <c r="V40" s="110">
        <f t="shared" si="140"/>
        <v>7.46</v>
      </c>
      <c r="W40" s="109">
        <f t="shared" si="141"/>
        <v>4300</v>
      </c>
      <c r="X40" s="110">
        <f t="shared" si="142"/>
        <v>0.7</v>
      </c>
      <c r="Y40" s="108" t="str">
        <f t="shared" si="143"/>
        <v>&lt;2</v>
      </c>
      <c r="Z40" s="110" t="str">
        <f t="shared" si="144"/>
        <v>&lt;2</v>
      </c>
      <c r="AA40" s="110" t="str">
        <f t="shared" si="145"/>
        <v>&lt;2</v>
      </c>
      <c r="AB40" s="108" t="str">
        <f t="shared" si="146"/>
        <v>&lt;1</v>
      </c>
      <c r="AC40" s="108" t="str">
        <f t="shared" si="147"/>
        <v>&lt;5</v>
      </c>
      <c r="AD40" s="106">
        <f t="shared" si="148"/>
        <v>430</v>
      </c>
      <c r="AE40" s="106">
        <f t="shared" si="149"/>
        <v>7.5</v>
      </c>
      <c r="AF40" s="109">
        <f t="shared" si="150"/>
        <v>1530</v>
      </c>
      <c r="AG40" s="106" t="str">
        <f t="shared" si="151"/>
        <v>&lt;0.05</v>
      </c>
      <c r="AH40" s="109">
        <f t="shared" si="152"/>
        <v>1400</v>
      </c>
      <c r="AI40" s="109">
        <f t="shared" si="153"/>
        <v>3000</v>
      </c>
      <c r="AJ40" s="106">
        <f t="shared" si="154"/>
        <v>7</v>
      </c>
      <c r="AK40" s="106" t="str">
        <f t="shared" si="155"/>
        <v>&lt;0.2</v>
      </c>
      <c r="AL40" s="106">
        <f t="shared" si="156"/>
        <v>4.7</v>
      </c>
      <c r="AM40" s="111">
        <f t="shared" si="157"/>
        <v>0.43</v>
      </c>
      <c r="AN40" s="111">
        <f t="shared" si="158"/>
        <v>0.99</v>
      </c>
      <c r="AO40" s="106">
        <f t="shared" si="159"/>
        <v>0.95</v>
      </c>
      <c r="AP40" s="111">
        <f t="shared" si="61"/>
        <v>4.0000000000000036E-2</v>
      </c>
      <c r="AQ40" s="106">
        <f t="shared" si="160"/>
        <v>3.2</v>
      </c>
      <c r="AR40" s="109">
        <f t="shared" si="161"/>
        <v>38</v>
      </c>
      <c r="AS40" s="109">
        <f t="shared" si="162"/>
        <v>87</v>
      </c>
      <c r="AT40" s="109" t="str">
        <f t="shared" si="163"/>
        <v>&lt;0.05</v>
      </c>
      <c r="AU40" s="108">
        <f t="shared" si="164"/>
        <v>6.6</v>
      </c>
      <c r="AV40" s="110" t="str">
        <f t="shared" si="165"/>
        <v>&lt;0.2</v>
      </c>
      <c r="AW40" s="109">
        <f t="shared" si="166"/>
        <v>20</v>
      </c>
      <c r="AX40" s="108" t="str">
        <f t="shared" si="167"/>
        <v>&lt;0.2</v>
      </c>
      <c r="AY40" s="231" t="str">
        <f t="shared" si="168"/>
        <v>&lt;10</v>
      </c>
      <c r="AZ40" s="223">
        <v>1853004</v>
      </c>
      <c r="BA40" s="106" t="str">
        <f t="shared" si="169"/>
        <v>&lt;0.2</v>
      </c>
      <c r="BB40" s="106">
        <f t="shared" si="170"/>
        <v>4.8</v>
      </c>
      <c r="BC40" s="111">
        <f t="shared" si="171"/>
        <v>0.47</v>
      </c>
      <c r="BD40" s="111">
        <f t="shared" si="172"/>
        <v>0.92</v>
      </c>
      <c r="BE40" s="106">
        <f t="shared" si="173"/>
        <v>0.84</v>
      </c>
      <c r="BF40" s="111">
        <f t="shared" si="62"/>
        <v>8.0000000000000071E-2</v>
      </c>
      <c r="BG40" s="106">
        <f t="shared" si="174"/>
        <v>2.5</v>
      </c>
      <c r="BH40" s="109" t="str">
        <f t="shared" si="175"/>
        <v>&lt;20</v>
      </c>
      <c r="BI40" s="109">
        <f t="shared" si="176"/>
        <v>84</v>
      </c>
      <c r="BJ40" s="109" t="str">
        <f t="shared" si="177"/>
        <v>&lt;0.05</v>
      </c>
      <c r="BK40" s="112">
        <f t="shared" si="178"/>
        <v>6.3</v>
      </c>
      <c r="BL40" s="110" t="str">
        <f t="shared" si="179"/>
        <v>&lt;0.2</v>
      </c>
      <c r="BM40" s="109">
        <f t="shared" si="180"/>
        <v>19</v>
      </c>
      <c r="BN40" s="110" t="str">
        <f t="shared" si="181"/>
        <v>&lt;0.2</v>
      </c>
      <c r="BO40" s="113" t="str">
        <f t="shared" si="182"/>
        <v>&lt;10</v>
      </c>
    </row>
    <row r="41" spans="1:67" ht="27" customHeight="1" x14ac:dyDescent="0.4">
      <c r="A41" s="266" t="s">
        <v>145</v>
      </c>
      <c r="B41" s="106" t="str">
        <f t="shared" si="183"/>
        <v>Mission Viejo</v>
      </c>
      <c r="C41" s="223">
        <v>1853002</v>
      </c>
      <c r="D41" s="107">
        <f t="shared" si="123"/>
        <v>44448.42083333333</v>
      </c>
      <c r="E41" s="107"/>
      <c r="F41" s="116">
        <f t="shared" si="124"/>
        <v>2.48</v>
      </c>
      <c r="G41" s="108">
        <f t="shared" si="125"/>
        <v>8.0500000000000007</v>
      </c>
      <c r="H41" s="109">
        <f t="shared" si="126"/>
        <v>2424</v>
      </c>
      <c r="I41" s="110">
        <f t="shared" si="127"/>
        <v>8.67</v>
      </c>
      <c r="J41" s="110">
        <f t="shared" si="128"/>
        <v>22.54</v>
      </c>
      <c r="K41" s="109">
        <f t="shared" si="129"/>
        <v>31000</v>
      </c>
      <c r="L41" s="109">
        <f t="shared" si="130"/>
        <v>4800</v>
      </c>
      <c r="M41" s="109">
        <f t="shared" si="131"/>
        <v>36000</v>
      </c>
      <c r="N41" s="109" t="str">
        <f t="shared" si="132"/>
        <v>&gt;=68000</v>
      </c>
      <c r="O41" s="110" t="str">
        <f t="shared" si="133"/>
        <v>&lt;0.1</v>
      </c>
      <c r="P41" s="108">
        <f t="shared" si="134"/>
        <v>0.9</v>
      </c>
      <c r="Q41" s="111">
        <f t="shared" si="135"/>
        <v>0.18</v>
      </c>
      <c r="R41" s="110">
        <f t="shared" si="136"/>
        <v>0.83</v>
      </c>
      <c r="S41" s="110">
        <f t="shared" si="137"/>
        <v>0.69</v>
      </c>
      <c r="T41" s="109" t="str">
        <f t="shared" si="138"/>
        <v>&lt;5.6</v>
      </c>
      <c r="U41" s="108">
        <f t="shared" si="139"/>
        <v>3.4</v>
      </c>
      <c r="V41" s="110">
        <f t="shared" si="140"/>
        <v>8.01</v>
      </c>
      <c r="W41" s="109">
        <f t="shared" si="141"/>
        <v>2900</v>
      </c>
      <c r="X41" s="108">
        <f t="shared" si="142"/>
        <v>2.2000000000000002</v>
      </c>
      <c r="Y41" s="108" t="str">
        <f t="shared" si="143"/>
        <v>&lt;2</v>
      </c>
      <c r="Z41" s="110" t="str">
        <f t="shared" si="144"/>
        <v>&lt;2</v>
      </c>
      <c r="AA41" s="110" t="str">
        <f t="shared" si="145"/>
        <v>&lt;2</v>
      </c>
      <c r="AB41" s="108" t="str">
        <f t="shared" si="146"/>
        <v>&lt;1</v>
      </c>
      <c r="AC41" s="108" t="str">
        <f t="shared" si="147"/>
        <v>&lt;5</v>
      </c>
      <c r="AD41" s="106">
        <f t="shared" si="148"/>
        <v>290</v>
      </c>
      <c r="AE41" s="106">
        <f t="shared" si="149"/>
        <v>9.1</v>
      </c>
      <c r="AF41" s="109">
        <f t="shared" si="150"/>
        <v>748</v>
      </c>
      <c r="AG41" s="106">
        <f t="shared" si="151"/>
        <v>5.7000000000000002E-2</v>
      </c>
      <c r="AH41" s="109">
        <f t="shared" si="152"/>
        <v>730</v>
      </c>
      <c r="AI41" s="109">
        <f t="shared" si="153"/>
        <v>1800</v>
      </c>
      <c r="AJ41" s="106">
        <f t="shared" si="154"/>
        <v>8.4</v>
      </c>
      <c r="AK41" s="106" t="str">
        <f t="shared" si="155"/>
        <v>&lt;0.2</v>
      </c>
      <c r="AL41" s="112">
        <f t="shared" si="156"/>
        <v>5</v>
      </c>
      <c r="AM41" s="106" t="str">
        <f t="shared" si="157"/>
        <v>&lt;0.2</v>
      </c>
      <c r="AN41" s="111">
        <f t="shared" si="158"/>
        <v>0.24</v>
      </c>
      <c r="AO41" s="106" t="str">
        <f t="shared" si="159"/>
        <v>&lt;0.02</v>
      </c>
      <c r="AP41" s="111" t="s">
        <v>255</v>
      </c>
      <c r="AQ41" s="106">
        <f t="shared" si="160"/>
        <v>7.5</v>
      </c>
      <c r="AR41" s="109">
        <f t="shared" si="161"/>
        <v>170</v>
      </c>
      <c r="AS41" s="109">
        <f t="shared" si="162"/>
        <v>43</v>
      </c>
      <c r="AT41" s="109" t="str">
        <f t="shared" si="163"/>
        <v>&lt;0.05</v>
      </c>
      <c r="AU41" s="108">
        <f t="shared" si="164"/>
        <v>3.5</v>
      </c>
      <c r="AV41" s="110">
        <f t="shared" si="165"/>
        <v>0.23</v>
      </c>
      <c r="AW41" s="108">
        <f t="shared" si="166"/>
        <v>1</v>
      </c>
      <c r="AX41" s="108" t="str">
        <f t="shared" si="167"/>
        <v>&lt;0.2</v>
      </c>
      <c r="AY41" s="231" t="str">
        <f t="shared" si="168"/>
        <v>&lt;10</v>
      </c>
      <c r="AZ41" s="223">
        <v>1853005</v>
      </c>
      <c r="BA41" s="106" t="str">
        <f t="shared" si="169"/>
        <v>&lt;0.2</v>
      </c>
      <c r="BB41" s="106">
        <f t="shared" si="170"/>
        <v>4.8</v>
      </c>
      <c r="BC41" s="111" t="str">
        <f t="shared" si="171"/>
        <v>&lt;0.2</v>
      </c>
      <c r="BD41" s="111" t="str">
        <f t="shared" si="172"/>
        <v>&lt;0.2</v>
      </c>
      <c r="BE41" s="106" t="str">
        <f t="shared" si="173"/>
        <v>&lt;0.02</v>
      </c>
      <c r="BF41" s="111" t="s">
        <v>254</v>
      </c>
      <c r="BG41" s="106">
        <f t="shared" si="174"/>
        <v>5.7</v>
      </c>
      <c r="BH41" s="109">
        <f t="shared" si="175"/>
        <v>66</v>
      </c>
      <c r="BI41" s="109">
        <f t="shared" si="176"/>
        <v>31</v>
      </c>
      <c r="BJ41" s="109" t="str">
        <f t="shared" si="177"/>
        <v>&lt;0.05</v>
      </c>
      <c r="BK41" s="112">
        <f t="shared" si="178"/>
        <v>3.4</v>
      </c>
      <c r="BL41" s="110" t="str">
        <f t="shared" si="179"/>
        <v>&lt;0.2</v>
      </c>
      <c r="BM41" s="108">
        <f t="shared" si="180"/>
        <v>1</v>
      </c>
      <c r="BN41" s="110" t="str">
        <f t="shared" si="181"/>
        <v>&lt;0.2</v>
      </c>
      <c r="BO41" s="113" t="str">
        <f t="shared" si="182"/>
        <v>&lt;10</v>
      </c>
    </row>
    <row r="42" spans="1:67" ht="27" customHeight="1" x14ac:dyDescent="0.4">
      <c r="A42" s="266" t="s">
        <v>148</v>
      </c>
      <c r="B42" s="106" t="str">
        <f t="shared" si="183"/>
        <v>Mission Viejo</v>
      </c>
      <c r="C42" s="223">
        <v>1853003</v>
      </c>
      <c r="D42" s="107">
        <f t="shared" si="123"/>
        <v>44448.448611111111</v>
      </c>
      <c r="E42" s="107"/>
      <c r="F42" s="108">
        <f t="shared" si="124"/>
        <v>2.9</v>
      </c>
      <c r="G42" s="108">
        <f t="shared" si="125"/>
        <v>7.9</v>
      </c>
      <c r="H42" s="109">
        <f t="shared" si="126"/>
        <v>3041</v>
      </c>
      <c r="I42" s="110">
        <f t="shared" si="127"/>
        <v>8.4499999999999993</v>
      </c>
      <c r="J42" s="110">
        <f t="shared" si="128"/>
        <v>22.81</v>
      </c>
      <c r="K42" s="109" t="str">
        <f t="shared" si="129"/>
        <v>&gt;=1760</v>
      </c>
      <c r="L42" s="109">
        <f t="shared" si="130"/>
        <v>4800</v>
      </c>
      <c r="M42" s="109" t="str">
        <f t="shared" si="131"/>
        <v>&gt;=2900</v>
      </c>
      <c r="N42" s="109" t="str">
        <f t="shared" si="132"/>
        <v>&gt;=24000</v>
      </c>
      <c r="O42" s="110" t="str">
        <f t="shared" si="133"/>
        <v>&lt;0.1</v>
      </c>
      <c r="P42" s="108">
        <f t="shared" si="134"/>
        <v>2.1</v>
      </c>
      <c r="Q42" s="111">
        <f t="shared" si="135"/>
        <v>0.27</v>
      </c>
      <c r="R42" s="108">
        <f t="shared" si="136"/>
        <v>1.6</v>
      </c>
      <c r="S42" s="108">
        <f t="shared" si="137"/>
        <v>1.3</v>
      </c>
      <c r="T42" s="109" t="str">
        <f t="shared" si="138"/>
        <v>&lt;5.6</v>
      </c>
      <c r="U42" s="108">
        <f t="shared" si="139"/>
        <v>5.2</v>
      </c>
      <c r="V42" s="110">
        <f t="shared" si="140"/>
        <v>7.88</v>
      </c>
      <c r="W42" s="109">
        <f t="shared" si="141"/>
        <v>3700</v>
      </c>
      <c r="X42" s="108">
        <f t="shared" si="142"/>
        <v>2.8</v>
      </c>
      <c r="Y42" s="108" t="str">
        <f t="shared" si="143"/>
        <v>&lt;2</v>
      </c>
      <c r="Z42" s="110" t="str">
        <f t="shared" si="144"/>
        <v>&lt;2</v>
      </c>
      <c r="AA42" s="110" t="str">
        <f t="shared" si="145"/>
        <v>&lt;2</v>
      </c>
      <c r="AB42" s="108" t="str">
        <f t="shared" si="146"/>
        <v>&lt;1</v>
      </c>
      <c r="AC42" s="108" t="str">
        <f t="shared" si="147"/>
        <v>&lt;5</v>
      </c>
      <c r="AD42" s="106">
        <f t="shared" si="148"/>
        <v>310</v>
      </c>
      <c r="AE42" s="106">
        <f t="shared" si="149"/>
        <v>11</v>
      </c>
      <c r="AF42" s="109">
        <f t="shared" si="150"/>
        <v>1260</v>
      </c>
      <c r="AG42" s="106" t="str">
        <f t="shared" si="151"/>
        <v>&lt;0.05</v>
      </c>
      <c r="AH42" s="109">
        <f t="shared" si="152"/>
        <v>1200</v>
      </c>
      <c r="AI42" s="109">
        <f t="shared" si="153"/>
        <v>2400</v>
      </c>
      <c r="AJ42" s="106" t="str">
        <f t="shared" si="154"/>
        <v>&lt;0.3</v>
      </c>
      <c r="AK42" s="106" t="str">
        <f t="shared" si="155"/>
        <v>&lt;0.2</v>
      </c>
      <c r="AL42" s="106">
        <f t="shared" si="156"/>
        <v>11</v>
      </c>
      <c r="AM42" s="106">
        <f t="shared" si="157"/>
        <v>31</v>
      </c>
      <c r="AN42" s="111">
        <f t="shared" si="158"/>
        <v>0.59</v>
      </c>
      <c r="AO42" s="106">
        <f t="shared" si="159"/>
        <v>3.1E-2</v>
      </c>
      <c r="AP42" s="111">
        <f t="shared" si="61"/>
        <v>0.55899999999999994</v>
      </c>
      <c r="AQ42" s="106">
        <f t="shared" si="160"/>
        <v>7.8</v>
      </c>
      <c r="AR42" s="109">
        <f t="shared" si="161"/>
        <v>150</v>
      </c>
      <c r="AS42" s="109">
        <f t="shared" si="162"/>
        <v>140</v>
      </c>
      <c r="AT42" s="109" t="str">
        <f t="shared" si="163"/>
        <v>&lt;0.05</v>
      </c>
      <c r="AU42" s="109">
        <f t="shared" si="164"/>
        <v>75</v>
      </c>
      <c r="AV42" s="110">
        <f t="shared" si="165"/>
        <v>0.75</v>
      </c>
      <c r="AW42" s="109">
        <f t="shared" si="166"/>
        <v>43</v>
      </c>
      <c r="AX42" s="108" t="str">
        <f t="shared" si="167"/>
        <v>&lt;0.2</v>
      </c>
      <c r="AY42" s="231">
        <f t="shared" si="168"/>
        <v>30</v>
      </c>
      <c r="AZ42" s="223">
        <v>1853006</v>
      </c>
      <c r="BA42" s="106" t="str">
        <f t="shared" si="169"/>
        <v>&lt;0.2</v>
      </c>
      <c r="BB42" s="106">
        <f t="shared" si="170"/>
        <v>11</v>
      </c>
      <c r="BC42" s="112">
        <f t="shared" si="171"/>
        <v>7.9</v>
      </c>
      <c r="BD42" s="111">
        <f t="shared" si="172"/>
        <v>0.38</v>
      </c>
      <c r="BE42" s="106" t="str">
        <f t="shared" si="173"/>
        <v>&lt;0.02</v>
      </c>
      <c r="BF42" s="111" t="s">
        <v>267</v>
      </c>
      <c r="BG42" s="106">
        <f t="shared" si="174"/>
        <v>3.5</v>
      </c>
      <c r="BH42" s="109" t="str">
        <f t="shared" si="175"/>
        <v>&lt;20</v>
      </c>
      <c r="BI42" s="109">
        <f t="shared" si="176"/>
        <v>120</v>
      </c>
      <c r="BJ42" s="109" t="str">
        <f t="shared" si="177"/>
        <v>&lt;0.05</v>
      </c>
      <c r="BK42" s="231">
        <f t="shared" si="178"/>
        <v>72</v>
      </c>
      <c r="BL42" s="110" t="str">
        <f t="shared" si="179"/>
        <v>&lt;0.2</v>
      </c>
      <c r="BM42" s="109">
        <f t="shared" si="180"/>
        <v>43</v>
      </c>
      <c r="BN42" s="110" t="str">
        <f t="shared" si="181"/>
        <v>&lt;0.2</v>
      </c>
      <c r="BO42" s="113">
        <f t="shared" si="182"/>
        <v>13</v>
      </c>
    </row>
    <row r="43" spans="1:67" ht="27" customHeight="1" x14ac:dyDescent="0.4">
      <c r="A43" s="266" t="s">
        <v>151</v>
      </c>
      <c r="B43" s="115" t="str">
        <f t="shared" si="183"/>
        <v>Rancho Santa Margarita</v>
      </c>
      <c r="C43" s="223">
        <v>1874001</v>
      </c>
      <c r="D43" s="107">
        <f t="shared" si="123"/>
        <v>44417.352777777778</v>
      </c>
      <c r="E43" s="118"/>
      <c r="F43" s="108">
        <f t="shared" si="124"/>
        <v>2.98</v>
      </c>
      <c r="G43" s="108">
        <f t="shared" si="125"/>
        <v>8.02</v>
      </c>
      <c r="H43" s="109">
        <f t="shared" si="126"/>
        <v>1260</v>
      </c>
      <c r="I43" s="110">
        <f t="shared" si="127"/>
        <v>8.4</v>
      </c>
      <c r="J43" s="110">
        <f t="shared" si="128"/>
        <v>21.64</v>
      </c>
      <c r="K43" s="109" t="str">
        <f t="shared" si="129"/>
        <v>&gt;=3100</v>
      </c>
      <c r="L43" s="109">
        <f t="shared" si="130"/>
        <v>66000</v>
      </c>
      <c r="M43" s="109" t="str">
        <f t="shared" si="131"/>
        <v>&gt;=4000</v>
      </c>
      <c r="N43" s="109" t="str">
        <f t="shared" si="132"/>
        <v>&gt;=108000</v>
      </c>
      <c r="O43" s="110">
        <f t="shared" si="133"/>
        <v>0.35</v>
      </c>
      <c r="P43" s="108">
        <f t="shared" si="134"/>
        <v>4.3</v>
      </c>
      <c r="Q43" s="111">
        <f t="shared" si="135"/>
        <v>0.65</v>
      </c>
      <c r="R43" s="108">
        <f t="shared" si="136"/>
        <v>2.8</v>
      </c>
      <c r="S43" s="108">
        <f t="shared" si="137"/>
        <v>2.4</v>
      </c>
      <c r="T43" s="109" t="str">
        <f t="shared" si="138"/>
        <v>&lt;10</v>
      </c>
      <c r="U43" s="108">
        <f t="shared" si="139"/>
        <v>3</v>
      </c>
      <c r="V43" s="110">
        <f t="shared" si="140"/>
        <v>7.89</v>
      </c>
      <c r="W43" s="109">
        <f t="shared" si="141"/>
        <v>1800</v>
      </c>
      <c r="X43" s="108">
        <f t="shared" si="142"/>
        <v>4.0999999999999996</v>
      </c>
      <c r="Y43" s="108" t="str">
        <f t="shared" si="143"/>
        <v>&lt;2</v>
      </c>
      <c r="Z43" s="110" t="str">
        <f t="shared" si="144"/>
        <v>&lt;2</v>
      </c>
      <c r="AA43" s="110" t="str">
        <f t="shared" si="145"/>
        <v>&lt;2</v>
      </c>
      <c r="AB43" s="108" t="str">
        <f t="shared" si="146"/>
        <v>&lt;1</v>
      </c>
      <c r="AC43" s="108" t="str">
        <f t="shared" si="147"/>
        <v>&lt;5</v>
      </c>
      <c r="AD43" s="106">
        <f t="shared" si="148"/>
        <v>210</v>
      </c>
      <c r="AE43" s="106">
        <f t="shared" si="149"/>
        <v>21</v>
      </c>
      <c r="AF43" s="109">
        <f t="shared" si="150"/>
        <v>555</v>
      </c>
      <c r="AG43" s="106" t="str">
        <f t="shared" si="151"/>
        <v>&lt;0.05</v>
      </c>
      <c r="AH43" s="109">
        <f t="shared" si="152"/>
        <v>360</v>
      </c>
      <c r="AI43" s="109">
        <f t="shared" si="153"/>
        <v>1100</v>
      </c>
      <c r="AJ43" s="106">
        <f t="shared" si="154"/>
        <v>21</v>
      </c>
      <c r="AK43" s="106" t="str">
        <f t="shared" si="155"/>
        <v>&lt;0.2</v>
      </c>
      <c r="AL43" s="106">
        <f t="shared" si="156"/>
        <v>2.6</v>
      </c>
      <c r="AM43" s="106" t="str">
        <f t="shared" si="157"/>
        <v>&lt;0.2</v>
      </c>
      <c r="AN43" s="111">
        <f t="shared" si="158"/>
        <v>0.33</v>
      </c>
      <c r="AO43" s="106">
        <f t="shared" si="159"/>
        <v>8.4000000000000005E-2</v>
      </c>
      <c r="AP43" s="111">
        <f t="shared" si="61"/>
        <v>0.246</v>
      </c>
      <c r="AQ43" s="106">
        <f t="shared" si="160"/>
        <v>9.9</v>
      </c>
      <c r="AR43" s="109">
        <f t="shared" si="161"/>
        <v>64</v>
      </c>
      <c r="AS43" s="109">
        <f t="shared" si="162"/>
        <v>10</v>
      </c>
      <c r="AT43" s="109" t="str">
        <f t="shared" si="163"/>
        <v>&lt;0.05</v>
      </c>
      <c r="AU43" s="108" t="str">
        <f t="shared" si="164"/>
        <v>&lt;2</v>
      </c>
      <c r="AV43" s="110" t="str">
        <f t="shared" si="165"/>
        <v>&lt;0.2</v>
      </c>
      <c r="AW43" s="108">
        <f t="shared" si="166"/>
        <v>1.4</v>
      </c>
      <c r="AX43" s="108" t="str">
        <f t="shared" si="167"/>
        <v>&lt;0.2</v>
      </c>
      <c r="AY43" s="231">
        <f t="shared" si="168"/>
        <v>15</v>
      </c>
      <c r="AZ43" s="223">
        <v>1874006</v>
      </c>
      <c r="BA43" s="106" t="str">
        <f t="shared" si="169"/>
        <v>&lt;0.2</v>
      </c>
      <c r="BB43" s="106">
        <f t="shared" si="170"/>
        <v>2.6</v>
      </c>
      <c r="BC43" s="111" t="str">
        <f t="shared" si="171"/>
        <v>&lt;0.2</v>
      </c>
      <c r="BD43" s="111">
        <f t="shared" si="172"/>
        <v>0.34</v>
      </c>
      <c r="BE43" s="106">
        <f t="shared" si="173"/>
        <v>0.15</v>
      </c>
      <c r="BF43" s="111">
        <f t="shared" si="62"/>
        <v>0.19000000000000003</v>
      </c>
      <c r="BG43" s="106">
        <f t="shared" si="174"/>
        <v>8.6</v>
      </c>
      <c r="BH43" s="109">
        <f t="shared" si="175"/>
        <v>31</v>
      </c>
      <c r="BI43" s="108">
        <f t="shared" si="176"/>
        <v>8.1999999999999993</v>
      </c>
      <c r="BJ43" s="109" t="str">
        <f t="shared" si="177"/>
        <v>&lt;0.05</v>
      </c>
      <c r="BK43" s="112" t="str">
        <f t="shared" si="178"/>
        <v>&lt;2</v>
      </c>
      <c r="BL43" s="110" t="str">
        <f t="shared" si="179"/>
        <v>&lt;0.2</v>
      </c>
      <c r="BM43" s="108">
        <f t="shared" si="180"/>
        <v>1.4</v>
      </c>
      <c r="BN43" s="110" t="str">
        <f t="shared" si="181"/>
        <v>&lt;0.2</v>
      </c>
      <c r="BO43" s="113">
        <f t="shared" si="182"/>
        <v>12</v>
      </c>
    </row>
    <row r="44" spans="1:67" s="119" customFormat="1" ht="27" customHeight="1" x14ac:dyDescent="0.4">
      <c r="A44" s="266" t="s">
        <v>152</v>
      </c>
      <c r="B44" s="115" t="str">
        <f t="shared" si="183"/>
        <v>Rancho Santa Margarita</v>
      </c>
      <c r="C44" s="223">
        <v>1874005</v>
      </c>
      <c r="D44" s="107">
        <f t="shared" si="123"/>
        <v>44417.365277777775</v>
      </c>
      <c r="E44" s="118"/>
      <c r="F44" s="108">
        <f t="shared" si="124"/>
        <v>7.59</v>
      </c>
      <c r="G44" s="108">
        <f t="shared" si="125"/>
        <v>8.58</v>
      </c>
      <c r="H44" s="109">
        <f t="shared" si="126"/>
        <v>1371</v>
      </c>
      <c r="I44" s="110">
        <f t="shared" si="127"/>
        <v>8.27</v>
      </c>
      <c r="J44" s="110">
        <f t="shared" si="128"/>
        <v>20.78</v>
      </c>
      <c r="K44" s="109" t="str">
        <f t="shared" si="129"/>
        <v>&gt;=45000</v>
      </c>
      <c r="L44" s="109">
        <f t="shared" si="130"/>
        <v>82000</v>
      </c>
      <c r="M44" s="109" t="str">
        <f t="shared" si="131"/>
        <v>&gt;=36000</v>
      </c>
      <c r="N44" s="109" t="str">
        <f t="shared" si="132"/>
        <v>&gt;=580000</v>
      </c>
      <c r="O44" s="110" t="str">
        <f t="shared" si="133"/>
        <v>&lt;0.1</v>
      </c>
      <c r="P44" s="108">
        <f t="shared" si="134"/>
        <v>0.81</v>
      </c>
      <c r="Q44" s="111">
        <f t="shared" si="135"/>
        <v>0.25</v>
      </c>
      <c r="R44" s="110">
        <f t="shared" si="136"/>
        <v>0.62</v>
      </c>
      <c r="S44" s="108">
        <f t="shared" si="137"/>
        <v>1.2</v>
      </c>
      <c r="T44" s="109" t="str">
        <f t="shared" si="138"/>
        <v>&lt;5.6</v>
      </c>
      <c r="U44" s="108">
        <f t="shared" si="139"/>
        <v>3.8</v>
      </c>
      <c r="V44" s="110">
        <f t="shared" si="140"/>
        <v>7.68</v>
      </c>
      <c r="W44" s="109">
        <f t="shared" si="141"/>
        <v>1400</v>
      </c>
      <c r="X44" s="108">
        <f t="shared" si="142"/>
        <v>1.2</v>
      </c>
      <c r="Y44" s="108" t="str">
        <f t="shared" si="143"/>
        <v>&lt;2</v>
      </c>
      <c r="Z44" s="110" t="str">
        <f t="shared" si="144"/>
        <v>&lt;2</v>
      </c>
      <c r="AA44" s="110" t="str">
        <f t="shared" si="145"/>
        <v>&lt;2</v>
      </c>
      <c r="AB44" s="108" t="str">
        <f t="shared" si="146"/>
        <v>&lt;1</v>
      </c>
      <c r="AC44" s="108" t="str">
        <f t="shared" si="147"/>
        <v>&lt;5</v>
      </c>
      <c r="AD44" s="106">
        <f t="shared" si="148"/>
        <v>160</v>
      </c>
      <c r="AE44" s="106">
        <f t="shared" si="149"/>
        <v>7.7</v>
      </c>
      <c r="AF44" s="109">
        <f t="shared" si="150"/>
        <v>428</v>
      </c>
      <c r="AG44" s="106" t="str">
        <f t="shared" si="151"/>
        <v>&lt;0.05</v>
      </c>
      <c r="AH44" s="109">
        <f t="shared" si="152"/>
        <v>310</v>
      </c>
      <c r="AI44" s="109">
        <f t="shared" si="153"/>
        <v>860</v>
      </c>
      <c r="AJ44" s="106">
        <f t="shared" si="154"/>
        <v>7.8</v>
      </c>
      <c r="AK44" s="106" t="str">
        <f t="shared" si="155"/>
        <v>&lt;0.2</v>
      </c>
      <c r="AL44" s="106">
        <f t="shared" si="156"/>
        <v>3.5</v>
      </c>
      <c r="AM44" s="106" t="str">
        <f t="shared" si="157"/>
        <v>&lt;0.2</v>
      </c>
      <c r="AN44" s="111">
        <f t="shared" si="158"/>
        <v>0.31</v>
      </c>
      <c r="AO44" s="106">
        <f t="shared" si="159"/>
        <v>0.11</v>
      </c>
      <c r="AP44" s="111">
        <f t="shared" si="61"/>
        <v>0.2</v>
      </c>
      <c r="AQ44" s="106">
        <f t="shared" si="160"/>
        <v>4.9000000000000004</v>
      </c>
      <c r="AR44" s="109">
        <f t="shared" si="161"/>
        <v>130</v>
      </c>
      <c r="AS44" s="109">
        <f t="shared" si="162"/>
        <v>13</v>
      </c>
      <c r="AT44" s="109" t="str">
        <f t="shared" si="163"/>
        <v>&lt;0.05</v>
      </c>
      <c r="AU44" s="108" t="str">
        <f t="shared" si="164"/>
        <v>&lt;2</v>
      </c>
      <c r="AV44" s="110" t="str">
        <f t="shared" si="165"/>
        <v>&lt;0.2</v>
      </c>
      <c r="AW44" s="108">
        <f t="shared" si="166"/>
        <v>1.5</v>
      </c>
      <c r="AX44" s="108" t="str">
        <f t="shared" si="167"/>
        <v>&lt;0.2</v>
      </c>
      <c r="AY44" s="231" t="str">
        <f t="shared" si="168"/>
        <v>&lt;10</v>
      </c>
      <c r="AZ44" s="223">
        <v>1874010</v>
      </c>
      <c r="BA44" s="106" t="str">
        <f t="shared" si="169"/>
        <v>&lt;0.2</v>
      </c>
      <c r="BB44" s="106">
        <f t="shared" si="170"/>
        <v>3.3</v>
      </c>
      <c r="BC44" s="111" t="str">
        <f t="shared" si="171"/>
        <v>&lt;0.2</v>
      </c>
      <c r="BD44" s="111" t="str">
        <f t="shared" si="172"/>
        <v>&lt;0.2</v>
      </c>
      <c r="BE44" s="106">
        <f t="shared" si="173"/>
        <v>0.15</v>
      </c>
      <c r="BF44" s="111" t="s">
        <v>254</v>
      </c>
      <c r="BG44" s="106">
        <f t="shared" si="174"/>
        <v>3.9</v>
      </c>
      <c r="BH44" s="109">
        <f t="shared" si="175"/>
        <v>24</v>
      </c>
      <c r="BI44" s="109">
        <f t="shared" si="176"/>
        <v>10</v>
      </c>
      <c r="BJ44" s="109" t="str">
        <f t="shared" si="177"/>
        <v>&lt;0.05</v>
      </c>
      <c r="BK44" s="112" t="str">
        <f t="shared" si="178"/>
        <v>&lt;2</v>
      </c>
      <c r="BL44" s="110" t="str">
        <f t="shared" si="179"/>
        <v>&lt;0.2</v>
      </c>
      <c r="BM44" s="108">
        <f t="shared" si="180"/>
        <v>1.4</v>
      </c>
      <c r="BN44" s="110" t="str">
        <f t="shared" si="181"/>
        <v>&lt;0.2</v>
      </c>
      <c r="BO44" s="113" t="str">
        <f t="shared" si="182"/>
        <v>&lt;10</v>
      </c>
    </row>
    <row r="45" spans="1:67" ht="27" customHeight="1" x14ac:dyDescent="0.4">
      <c r="A45" s="266" t="s">
        <v>154</v>
      </c>
      <c r="B45" s="106" t="str">
        <f t="shared" si="183"/>
        <v>Rancho Santa Margarita</v>
      </c>
      <c r="C45" s="223">
        <v>1874003</v>
      </c>
      <c r="D45" s="107">
        <f t="shared" si="123"/>
        <v>44417.410416666666</v>
      </c>
      <c r="E45" s="107"/>
      <c r="F45" s="108">
        <f t="shared" si="124"/>
        <v>1.75</v>
      </c>
      <c r="G45" s="108">
        <f t="shared" si="125"/>
        <v>8.25</v>
      </c>
      <c r="H45" s="109">
        <f t="shared" si="126"/>
        <v>1497.7</v>
      </c>
      <c r="I45" s="110">
        <f t="shared" si="127"/>
        <v>8.58</v>
      </c>
      <c r="J45" s="110">
        <f t="shared" si="128"/>
        <v>21.8</v>
      </c>
      <c r="K45" s="109" t="str">
        <f t="shared" si="129"/>
        <v>&gt;=12000</v>
      </c>
      <c r="L45" s="109">
        <f t="shared" si="130"/>
        <v>11700</v>
      </c>
      <c r="M45" s="109" t="str">
        <f t="shared" si="131"/>
        <v>&gt;=17700</v>
      </c>
      <c r="N45" s="109" t="str">
        <f t="shared" si="132"/>
        <v>&gt;=58000</v>
      </c>
      <c r="O45" s="110">
        <f t="shared" si="133"/>
        <v>0.1</v>
      </c>
      <c r="P45" s="108">
        <f t="shared" si="134"/>
        <v>2.5</v>
      </c>
      <c r="Q45" s="111">
        <f t="shared" si="135"/>
        <v>0.33</v>
      </c>
      <c r="R45" s="108">
        <f t="shared" si="136"/>
        <v>1.4</v>
      </c>
      <c r="S45" s="108">
        <f t="shared" si="137"/>
        <v>1.3</v>
      </c>
      <c r="T45" s="109" t="str">
        <f t="shared" si="138"/>
        <v>&lt;5.6</v>
      </c>
      <c r="U45" s="108">
        <f t="shared" si="139"/>
        <v>2.6</v>
      </c>
      <c r="V45" s="110">
        <f t="shared" si="140"/>
        <v>8.01</v>
      </c>
      <c r="W45" s="109">
        <f t="shared" si="141"/>
        <v>1500</v>
      </c>
      <c r="X45" s="108">
        <f t="shared" si="142"/>
        <v>1.7</v>
      </c>
      <c r="Y45" s="108" t="str">
        <f t="shared" si="143"/>
        <v>&lt;2</v>
      </c>
      <c r="Z45" s="110" t="str">
        <f t="shared" si="144"/>
        <v>&lt;2</v>
      </c>
      <c r="AA45" s="110" t="str">
        <f t="shared" si="145"/>
        <v>&lt;2</v>
      </c>
      <c r="AB45" s="108" t="str">
        <f t="shared" si="146"/>
        <v>&lt;1</v>
      </c>
      <c r="AC45" s="108" t="str">
        <f t="shared" si="147"/>
        <v>&lt;5</v>
      </c>
      <c r="AD45" s="106">
        <f t="shared" si="148"/>
        <v>210</v>
      </c>
      <c r="AE45" s="106">
        <f t="shared" si="149"/>
        <v>8.9</v>
      </c>
      <c r="AF45" s="109">
        <f t="shared" si="150"/>
        <v>355</v>
      </c>
      <c r="AG45" s="106" t="str">
        <f t="shared" si="151"/>
        <v>&lt;0.05</v>
      </c>
      <c r="AH45" s="109">
        <f t="shared" si="152"/>
        <v>250</v>
      </c>
      <c r="AI45" s="109">
        <f t="shared" si="153"/>
        <v>910</v>
      </c>
      <c r="AJ45" s="106">
        <f t="shared" si="154"/>
        <v>8.9</v>
      </c>
      <c r="AK45" s="106" t="str">
        <f t="shared" si="155"/>
        <v>&lt;0.2</v>
      </c>
      <c r="AL45" s="106">
        <f t="shared" si="156"/>
        <v>2.5</v>
      </c>
      <c r="AM45" s="106" t="str">
        <f t="shared" si="157"/>
        <v>&lt;0.2</v>
      </c>
      <c r="AN45" s="111">
        <f t="shared" si="158"/>
        <v>0.24</v>
      </c>
      <c r="AO45" s="106">
        <f t="shared" si="159"/>
        <v>7.3999999999999996E-2</v>
      </c>
      <c r="AP45" s="111">
        <f t="shared" si="61"/>
        <v>0.16599999999999998</v>
      </c>
      <c r="AQ45" s="106">
        <f t="shared" si="160"/>
        <v>6.8</v>
      </c>
      <c r="AR45" s="109">
        <f t="shared" si="161"/>
        <v>120</v>
      </c>
      <c r="AS45" s="109">
        <f t="shared" si="162"/>
        <v>13</v>
      </c>
      <c r="AT45" s="109" t="str">
        <f t="shared" si="163"/>
        <v>&lt;0.05</v>
      </c>
      <c r="AU45" s="108" t="str">
        <f t="shared" si="164"/>
        <v>&lt;2</v>
      </c>
      <c r="AV45" s="110" t="str">
        <f t="shared" si="165"/>
        <v>&lt;0.2</v>
      </c>
      <c r="AW45" s="108">
        <f t="shared" si="166"/>
        <v>1.2</v>
      </c>
      <c r="AX45" s="108" t="str">
        <f t="shared" si="167"/>
        <v>&lt;0.2</v>
      </c>
      <c r="AY45" s="231" t="str">
        <f t="shared" si="168"/>
        <v>&lt;10</v>
      </c>
      <c r="AZ45" s="223">
        <v>1874008</v>
      </c>
      <c r="BA45" s="106" t="str">
        <f t="shared" si="169"/>
        <v>&lt;0.2</v>
      </c>
      <c r="BB45" s="106">
        <f t="shared" si="170"/>
        <v>2.5</v>
      </c>
      <c r="BC45" s="111" t="str">
        <f t="shared" si="171"/>
        <v>&lt;0.2</v>
      </c>
      <c r="BD45" s="111" t="str">
        <f t="shared" si="172"/>
        <v>&lt;0.2</v>
      </c>
      <c r="BE45" s="111">
        <f t="shared" si="173"/>
        <v>0.1</v>
      </c>
      <c r="BF45" s="111" t="s">
        <v>254</v>
      </c>
      <c r="BG45" s="112">
        <f t="shared" si="174"/>
        <v>6</v>
      </c>
      <c r="BH45" s="109">
        <f t="shared" si="175"/>
        <v>43</v>
      </c>
      <c r="BI45" s="108">
        <f t="shared" si="176"/>
        <v>2.6</v>
      </c>
      <c r="BJ45" s="109" t="str">
        <f t="shared" si="177"/>
        <v>&lt;0.05</v>
      </c>
      <c r="BK45" s="112" t="str">
        <f t="shared" si="178"/>
        <v>&lt;2</v>
      </c>
      <c r="BL45" s="110" t="str">
        <f t="shared" si="179"/>
        <v>&lt;0.2</v>
      </c>
      <c r="BM45" s="108">
        <f t="shared" si="180"/>
        <v>1.3</v>
      </c>
      <c r="BN45" s="110" t="str">
        <f t="shared" si="181"/>
        <v>&lt;0.2</v>
      </c>
      <c r="BO45" s="113" t="str">
        <f t="shared" si="182"/>
        <v>&lt;10</v>
      </c>
    </row>
    <row r="46" spans="1:67" s="119" customFormat="1" ht="27" customHeight="1" x14ac:dyDescent="0.4">
      <c r="A46" s="266" t="s">
        <v>155</v>
      </c>
      <c r="B46" s="115" t="str">
        <f t="shared" si="183"/>
        <v>Rancho Santa Margarita</v>
      </c>
      <c r="C46" s="223">
        <v>1874002</v>
      </c>
      <c r="D46" s="107">
        <f t="shared" si="123"/>
        <v>44417.418749999997</v>
      </c>
      <c r="E46" s="118"/>
      <c r="F46" s="108">
        <f t="shared" si="124"/>
        <v>2.44</v>
      </c>
      <c r="G46" s="108">
        <f t="shared" si="125"/>
        <v>8.67</v>
      </c>
      <c r="H46" s="109">
        <f t="shared" si="126"/>
        <v>1462.3</v>
      </c>
      <c r="I46" s="110">
        <f t="shared" si="127"/>
        <v>8.4600000000000009</v>
      </c>
      <c r="J46" s="110">
        <f t="shared" si="128"/>
        <v>21.44</v>
      </c>
      <c r="K46" s="109" t="str">
        <f t="shared" si="129"/>
        <v>&gt;=3100</v>
      </c>
      <c r="L46" s="109">
        <f t="shared" si="130"/>
        <v>25000</v>
      </c>
      <c r="M46" s="109" t="str">
        <f t="shared" si="131"/>
        <v>&gt;=6300</v>
      </c>
      <c r="N46" s="109" t="str">
        <f t="shared" si="132"/>
        <v>&gt;=76000</v>
      </c>
      <c r="O46" s="110">
        <f t="shared" si="133"/>
        <v>0.11</v>
      </c>
      <c r="P46" s="108">
        <f t="shared" si="134"/>
        <v>3.1</v>
      </c>
      <c r="Q46" s="111">
        <f t="shared" si="135"/>
        <v>0.39</v>
      </c>
      <c r="R46" s="110">
        <f t="shared" si="136"/>
        <v>0.86</v>
      </c>
      <c r="S46" s="108">
        <f t="shared" si="137"/>
        <v>1.3</v>
      </c>
      <c r="T46" s="109" t="str">
        <f t="shared" si="138"/>
        <v>&lt;5.6</v>
      </c>
      <c r="U46" s="108">
        <f t="shared" si="139"/>
        <v>4.8</v>
      </c>
      <c r="V46" s="110">
        <f t="shared" si="140"/>
        <v>7.95</v>
      </c>
      <c r="W46" s="109">
        <f t="shared" si="141"/>
        <v>1500</v>
      </c>
      <c r="X46" s="108">
        <f t="shared" si="142"/>
        <v>2.2000000000000002</v>
      </c>
      <c r="Y46" s="108" t="str">
        <f t="shared" si="143"/>
        <v>&lt;2</v>
      </c>
      <c r="Z46" s="110" t="str">
        <f t="shared" si="144"/>
        <v>&lt;2</v>
      </c>
      <c r="AA46" s="110" t="str">
        <f t="shared" si="145"/>
        <v>&lt;2</v>
      </c>
      <c r="AB46" s="108" t="str">
        <f t="shared" si="146"/>
        <v>&lt;1</v>
      </c>
      <c r="AC46" s="108" t="str">
        <f t="shared" si="147"/>
        <v>&lt;5</v>
      </c>
      <c r="AD46" s="106">
        <f t="shared" si="148"/>
        <v>190</v>
      </c>
      <c r="AE46" s="106">
        <f t="shared" si="149"/>
        <v>8.9</v>
      </c>
      <c r="AF46" s="109">
        <f t="shared" si="150"/>
        <v>438</v>
      </c>
      <c r="AG46" s="106" t="str">
        <f t="shared" si="151"/>
        <v>&lt;0.05</v>
      </c>
      <c r="AH46" s="109">
        <f t="shared" si="152"/>
        <v>300</v>
      </c>
      <c r="AI46" s="109">
        <f t="shared" si="153"/>
        <v>910</v>
      </c>
      <c r="AJ46" s="106">
        <f t="shared" si="154"/>
        <v>9.1999999999999993</v>
      </c>
      <c r="AK46" s="106" t="str">
        <f t="shared" si="155"/>
        <v>&lt;0.2</v>
      </c>
      <c r="AL46" s="112">
        <f t="shared" si="156"/>
        <v>2</v>
      </c>
      <c r="AM46" s="106" t="str">
        <f t="shared" si="157"/>
        <v>&lt;0.2</v>
      </c>
      <c r="AN46" s="111">
        <f t="shared" si="158"/>
        <v>0.22</v>
      </c>
      <c r="AO46" s="106">
        <f t="shared" si="159"/>
        <v>7.3999999999999996E-2</v>
      </c>
      <c r="AP46" s="111">
        <f t="shared" si="61"/>
        <v>0.14600000000000002</v>
      </c>
      <c r="AQ46" s="106">
        <f t="shared" si="160"/>
        <v>4.5</v>
      </c>
      <c r="AR46" s="109">
        <f t="shared" si="161"/>
        <v>71</v>
      </c>
      <c r="AS46" s="108">
        <f t="shared" si="162"/>
        <v>5.0999999999999996</v>
      </c>
      <c r="AT46" s="109" t="str">
        <f t="shared" si="163"/>
        <v>&lt;0.05</v>
      </c>
      <c r="AU46" s="108" t="str">
        <f t="shared" si="164"/>
        <v>&lt;2</v>
      </c>
      <c r="AV46" s="110" t="str">
        <f t="shared" si="165"/>
        <v>&lt;0.2</v>
      </c>
      <c r="AW46" s="108">
        <f t="shared" si="166"/>
        <v>0.88</v>
      </c>
      <c r="AX46" s="108" t="str">
        <f t="shared" si="167"/>
        <v>&lt;0.2</v>
      </c>
      <c r="AY46" s="231">
        <f t="shared" si="168"/>
        <v>12</v>
      </c>
      <c r="AZ46" s="223">
        <v>1874007</v>
      </c>
      <c r="BA46" s="106" t="str">
        <f t="shared" si="169"/>
        <v>&lt;0.2</v>
      </c>
      <c r="BB46" s="106">
        <f t="shared" si="170"/>
        <v>2.1</v>
      </c>
      <c r="BC46" s="111" t="str">
        <f t="shared" si="171"/>
        <v>&lt;0.2</v>
      </c>
      <c r="BD46" s="111" t="str">
        <f t="shared" si="172"/>
        <v>&lt;0.2</v>
      </c>
      <c r="BE46" s="111">
        <f t="shared" si="173"/>
        <v>9.7000000000000003E-2</v>
      </c>
      <c r="BF46" s="111" t="s">
        <v>254</v>
      </c>
      <c r="BG46" s="106">
        <f t="shared" si="174"/>
        <v>3.8</v>
      </c>
      <c r="BH46" s="109" t="str">
        <f t="shared" si="175"/>
        <v>&lt;20</v>
      </c>
      <c r="BI46" s="108">
        <f t="shared" si="176"/>
        <v>2.9</v>
      </c>
      <c r="BJ46" s="109" t="str">
        <f t="shared" si="177"/>
        <v>&lt;0.05</v>
      </c>
      <c r="BK46" s="112" t="str">
        <f t="shared" si="178"/>
        <v>&lt;2</v>
      </c>
      <c r="BL46" s="110" t="str">
        <f t="shared" si="179"/>
        <v>&lt;0.2</v>
      </c>
      <c r="BM46" s="108">
        <f t="shared" si="180"/>
        <v>0.99</v>
      </c>
      <c r="BN46" s="110" t="str">
        <f t="shared" si="181"/>
        <v>&lt;0.2</v>
      </c>
      <c r="BO46" s="113" t="str">
        <f t="shared" si="182"/>
        <v>&lt;10</v>
      </c>
    </row>
    <row r="47" spans="1:67" s="119" customFormat="1" ht="27" customHeight="1" x14ac:dyDescent="0.4">
      <c r="A47" s="266" t="s">
        <v>156</v>
      </c>
      <c r="B47" s="115" t="str">
        <f t="shared" si="183"/>
        <v>Rancho Santa Margarita</v>
      </c>
      <c r="C47" s="223">
        <v>1874004</v>
      </c>
      <c r="D47" s="107">
        <f t="shared" si="123"/>
        <v>44417.425000000003</v>
      </c>
      <c r="E47" s="118"/>
      <c r="F47" s="108">
        <f t="shared" si="124"/>
        <v>5.78</v>
      </c>
      <c r="G47" s="108">
        <f t="shared" si="125"/>
        <v>7.8</v>
      </c>
      <c r="H47" s="109">
        <f t="shared" si="126"/>
        <v>2593</v>
      </c>
      <c r="I47" s="110">
        <f t="shared" si="127"/>
        <v>8.26</v>
      </c>
      <c r="J47" s="110">
        <f t="shared" si="128"/>
        <v>25.25</v>
      </c>
      <c r="K47" s="109" t="str">
        <f t="shared" si="129"/>
        <v>&gt;=230</v>
      </c>
      <c r="L47" s="109">
        <f t="shared" si="130"/>
        <v>2000</v>
      </c>
      <c r="M47" s="109" t="str">
        <f t="shared" si="131"/>
        <v>&gt;=800</v>
      </c>
      <c r="N47" s="109" t="str">
        <f t="shared" si="132"/>
        <v>&gt;=17000</v>
      </c>
      <c r="O47" s="110">
        <f t="shared" si="133"/>
        <v>0.15</v>
      </c>
      <c r="P47" s="108">
        <f t="shared" si="134"/>
        <v>2.2999999999999998</v>
      </c>
      <c r="Q47" s="111">
        <f t="shared" si="135"/>
        <v>0.2</v>
      </c>
      <c r="R47" s="108">
        <f t="shared" si="136"/>
        <v>1</v>
      </c>
      <c r="S47" s="108">
        <f t="shared" si="137"/>
        <v>1</v>
      </c>
      <c r="T47" s="109" t="str">
        <f t="shared" si="138"/>
        <v>&lt;5.6</v>
      </c>
      <c r="U47" s="108">
        <f t="shared" si="139"/>
        <v>4</v>
      </c>
      <c r="V47" s="110">
        <f t="shared" si="140"/>
        <v>7.68</v>
      </c>
      <c r="W47" s="109">
        <f t="shared" si="141"/>
        <v>2900</v>
      </c>
      <c r="X47" s="108">
        <f t="shared" si="142"/>
        <v>4.7</v>
      </c>
      <c r="Y47" s="108" t="str">
        <f t="shared" si="143"/>
        <v>&lt;2</v>
      </c>
      <c r="Z47" s="110" t="str">
        <f t="shared" si="144"/>
        <v>&lt;2</v>
      </c>
      <c r="AA47" s="110" t="str">
        <f t="shared" si="145"/>
        <v>&lt;2</v>
      </c>
      <c r="AB47" s="108" t="str">
        <f t="shared" si="146"/>
        <v>&lt;1</v>
      </c>
      <c r="AC47" s="108" t="str">
        <f t="shared" si="147"/>
        <v>&lt;5</v>
      </c>
      <c r="AD47" s="106">
        <f t="shared" si="148"/>
        <v>440</v>
      </c>
      <c r="AE47" s="106">
        <f t="shared" si="149"/>
        <v>13</v>
      </c>
      <c r="AF47" s="109">
        <f t="shared" si="150"/>
        <v>777</v>
      </c>
      <c r="AG47" s="106">
        <f t="shared" si="151"/>
        <v>6.3E-2</v>
      </c>
      <c r="AH47" s="109">
        <f t="shared" si="152"/>
        <v>540</v>
      </c>
      <c r="AI47" s="109">
        <f t="shared" si="153"/>
        <v>1800</v>
      </c>
      <c r="AJ47" s="106">
        <f t="shared" si="154"/>
        <v>15</v>
      </c>
      <c r="AK47" s="106" t="str">
        <f t="shared" si="155"/>
        <v>&lt;0.2</v>
      </c>
      <c r="AL47" s="106">
        <f t="shared" si="156"/>
        <v>1.8</v>
      </c>
      <c r="AM47" s="106" t="str">
        <f t="shared" si="157"/>
        <v>&lt;0.2</v>
      </c>
      <c r="AN47" s="111">
        <f t="shared" si="158"/>
        <v>0.24</v>
      </c>
      <c r="AO47" s="106" t="str">
        <f t="shared" si="159"/>
        <v>&lt;0.02</v>
      </c>
      <c r="AP47" s="111" t="s">
        <v>255</v>
      </c>
      <c r="AQ47" s="106">
        <f t="shared" si="160"/>
        <v>6.1</v>
      </c>
      <c r="AR47" s="109">
        <f t="shared" si="161"/>
        <v>1200</v>
      </c>
      <c r="AS47" s="109">
        <f t="shared" si="162"/>
        <v>560</v>
      </c>
      <c r="AT47" s="109" t="str">
        <f t="shared" si="163"/>
        <v>&lt;0.05</v>
      </c>
      <c r="AU47" s="108">
        <f t="shared" si="164"/>
        <v>4</v>
      </c>
      <c r="AV47" s="110" t="str">
        <f t="shared" si="165"/>
        <v>&lt;0.2</v>
      </c>
      <c r="AW47" s="108">
        <f t="shared" si="166"/>
        <v>0.72</v>
      </c>
      <c r="AX47" s="108" t="str">
        <f t="shared" si="167"/>
        <v>&lt;0.2</v>
      </c>
      <c r="AY47" s="231" t="str">
        <f t="shared" si="168"/>
        <v>&lt;10</v>
      </c>
      <c r="AZ47" s="223">
        <v>1874009</v>
      </c>
      <c r="BA47" s="106" t="str">
        <f t="shared" si="169"/>
        <v>&lt;0.2</v>
      </c>
      <c r="BB47" s="106">
        <f t="shared" si="170"/>
        <v>1.3</v>
      </c>
      <c r="BC47" s="111" t="str">
        <f t="shared" si="171"/>
        <v>&lt;0.2</v>
      </c>
      <c r="BD47" s="111" t="str">
        <f t="shared" si="172"/>
        <v>&lt;0.2</v>
      </c>
      <c r="BE47" s="106" t="str">
        <f t="shared" si="173"/>
        <v>&lt;0.02</v>
      </c>
      <c r="BF47" s="111" t="s">
        <v>254</v>
      </c>
      <c r="BG47" s="106">
        <f t="shared" si="174"/>
        <v>5.2</v>
      </c>
      <c r="BH47" s="109">
        <f t="shared" si="175"/>
        <v>31</v>
      </c>
      <c r="BI47" s="109">
        <f t="shared" si="176"/>
        <v>530</v>
      </c>
      <c r="BJ47" s="109" t="str">
        <f t="shared" si="177"/>
        <v>&lt;0.05</v>
      </c>
      <c r="BK47" s="112">
        <f t="shared" si="178"/>
        <v>3.8</v>
      </c>
      <c r="BL47" s="110" t="str">
        <f t="shared" si="179"/>
        <v>&lt;0.2</v>
      </c>
      <c r="BM47" s="110">
        <f t="shared" si="180"/>
        <v>0.68</v>
      </c>
      <c r="BN47" s="110" t="str">
        <f t="shared" si="181"/>
        <v>&lt;0.2</v>
      </c>
      <c r="BO47" s="113" t="str">
        <f t="shared" si="182"/>
        <v>&lt;10</v>
      </c>
    </row>
    <row r="48" spans="1:67" s="119" customFormat="1" ht="27" customHeight="1" x14ac:dyDescent="0.4">
      <c r="A48" s="266" t="s">
        <v>157</v>
      </c>
      <c r="B48" s="106" t="str">
        <f t="shared" si="183"/>
        <v>San Clemente</v>
      </c>
      <c r="C48" s="223">
        <v>1935002</v>
      </c>
      <c r="D48" s="107">
        <f t="shared" si="123"/>
        <v>44453.34652777778</v>
      </c>
      <c r="E48" s="107"/>
      <c r="F48" s="108">
        <f t="shared" si="124"/>
        <v>1.86</v>
      </c>
      <c r="G48" s="108">
        <f t="shared" si="125"/>
        <v>8.9</v>
      </c>
      <c r="H48" s="109">
        <f t="shared" si="126"/>
        <v>4153.8999999999996</v>
      </c>
      <c r="I48" s="110">
        <f t="shared" si="127"/>
        <v>7.92</v>
      </c>
      <c r="J48" s="110">
        <f t="shared" si="128"/>
        <v>20.440000000000001</v>
      </c>
      <c r="K48" s="109" t="str">
        <f t="shared" si="129"/>
        <v>&gt;=16200</v>
      </c>
      <c r="L48" s="109">
        <f t="shared" si="130"/>
        <v>15700</v>
      </c>
      <c r="M48" s="109" t="str">
        <f t="shared" si="131"/>
        <v>&gt;=14600</v>
      </c>
      <c r="N48" s="109" t="str">
        <f t="shared" si="132"/>
        <v>&gt;=41000</v>
      </c>
      <c r="O48" s="110" t="str">
        <f t="shared" si="133"/>
        <v>&lt;0.1</v>
      </c>
      <c r="P48" s="108">
        <f t="shared" si="134"/>
        <v>3.3</v>
      </c>
      <c r="Q48" s="111">
        <f t="shared" si="135"/>
        <v>0.15</v>
      </c>
      <c r="R48" s="108">
        <f t="shared" si="136"/>
        <v>1</v>
      </c>
      <c r="S48" s="110">
        <f t="shared" si="137"/>
        <v>0.91</v>
      </c>
      <c r="T48" s="109" t="str">
        <f t="shared" si="138"/>
        <v>&lt;5.6</v>
      </c>
      <c r="U48" s="108">
        <f t="shared" si="139"/>
        <v>1.7</v>
      </c>
      <c r="V48" s="110">
        <f t="shared" si="140"/>
        <v>7.86</v>
      </c>
      <c r="W48" s="109">
        <f t="shared" si="141"/>
        <v>4600</v>
      </c>
      <c r="X48" s="110">
        <f t="shared" si="142"/>
        <v>0.76</v>
      </c>
      <c r="Y48" s="108" t="str">
        <f t="shared" si="143"/>
        <v>&lt;2</v>
      </c>
      <c r="Z48" s="110" t="str">
        <f t="shared" si="144"/>
        <v>&lt;2</v>
      </c>
      <c r="AA48" s="110" t="str">
        <f t="shared" si="145"/>
        <v>&lt;2</v>
      </c>
      <c r="AB48" s="108" t="str">
        <f t="shared" si="146"/>
        <v>&lt;1</v>
      </c>
      <c r="AC48" s="108" t="str">
        <f t="shared" si="147"/>
        <v>&lt;5</v>
      </c>
      <c r="AD48" s="106">
        <f t="shared" si="148"/>
        <v>350</v>
      </c>
      <c r="AE48" s="106">
        <f t="shared" si="149"/>
        <v>9.9</v>
      </c>
      <c r="AF48" s="109">
        <f t="shared" si="150"/>
        <v>1250</v>
      </c>
      <c r="AG48" s="106">
        <f t="shared" si="151"/>
        <v>6.3E-2</v>
      </c>
      <c r="AH48" s="109">
        <f t="shared" si="152"/>
        <v>1700</v>
      </c>
      <c r="AI48" s="109">
        <f t="shared" si="153"/>
        <v>2900</v>
      </c>
      <c r="AJ48" s="106">
        <f t="shared" si="154"/>
        <v>8.9</v>
      </c>
      <c r="AK48" s="106" t="str">
        <f t="shared" si="155"/>
        <v>&lt;0.2</v>
      </c>
      <c r="AL48" s="106">
        <f t="shared" si="156"/>
        <v>1.3</v>
      </c>
      <c r="AM48" s="106">
        <f t="shared" si="157"/>
        <v>7.1</v>
      </c>
      <c r="AN48" s="111">
        <f t="shared" si="158"/>
        <v>0.32</v>
      </c>
      <c r="AO48" s="106">
        <f t="shared" si="159"/>
        <v>3.4000000000000002E-2</v>
      </c>
      <c r="AP48" s="111">
        <f t="shared" si="61"/>
        <v>0.28600000000000003</v>
      </c>
      <c r="AQ48" s="106">
        <f t="shared" si="160"/>
        <v>5.2</v>
      </c>
      <c r="AR48" s="109">
        <f t="shared" si="161"/>
        <v>93</v>
      </c>
      <c r="AS48" s="109">
        <f t="shared" si="162"/>
        <v>500</v>
      </c>
      <c r="AT48" s="109" t="str">
        <f t="shared" si="163"/>
        <v>&lt;0.05</v>
      </c>
      <c r="AU48" s="109">
        <f t="shared" si="164"/>
        <v>62</v>
      </c>
      <c r="AV48" s="110" t="str">
        <f t="shared" si="165"/>
        <v>&lt;0.2</v>
      </c>
      <c r="AW48" s="108">
        <f t="shared" si="166"/>
        <v>1.7</v>
      </c>
      <c r="AX48" s="108" t="str">
        <f t="shared" si="167"/>
        <v>&lt;0.2</v>
      </c>
      <c r="AY48" s="231">
        <f t="shared" si="168"/>
        <v>30</v>
      </c>
      <c r="AZ48" s="223">
        <v>1935008</v>
      </c>
      <c r="BA48" s="106" t="str">
        <f t="shared" si="169"/>
        <v>&lt;0.2</v>
      </c>
      <c r="BB48" s="106">
        <f t="shared" si="170"/>
        <v>1.3</v>
      </c>
      <c r="BC48" s="112">
        <f t="shared" si="171"/>
        <v>3.9</v>
      </c>
      <c r="BD48" s="111">
        <f t="shared" si="172"/>
        <v>0.27</v>
      </c>
      <c r="BE48" s="106" t="str">
        <f t="shared" si="173"/>
        <v>&lt;0.02</v>
      </c>
      <c r="BF48" s="111" t="s">
        <v>268</v>
      </c>
      <c r="BG48" s="106">
        <f t="shared" si="174"/>
        <v>4.5999999999999996</v>
      </c>
      <c r="BH48" s="109">
        <f t="shared" si="175"/>
        <v>23</v>
      </c>
      <c r="BI48" s="109">
        <f t="shared" si="176"/>
        <v>500</v>
      </c>
      <c r="BJ48" s="109" t="str">
        <f t="shared" si="177"/>
        <v>&lt;0.05</v>
      </c>
      <c r="BK48" s="231">
        <f t="shared" si="178"/>
        <v>64</v>
      </c>
      <c r="BL48" s="110" t="str">
        <f t="shared" si="179"/>
        <v>&lt;0.2</v>
      </c>
      <c r="BM48" s="108">
        <f t="shared" si="180"/>
        <v>1.8</v>
      </c>
      <c r="BN48" s="110" t="str">
        <f t="shared" si="181"/>
        <v>&lt;0.2</v>
      </c>
      <c r="BO48" s="113">
        <f t="shared" si="182"/>
        <v>26</v>
      </c>
    </row>
    <row r="49" spans="1:72" s="119" customFormat="1" ht="27" customHeight="1" x14ac:dyDescent="0.4">
      <c r="A49" s="266" t="s">
        <v>162</v>
      </c>
      <c r="B49" s="106" t="str">
        <f t="shared" si="183"/>
        <v>San Clemente</v>
      </c>
      <c r="C49" s="223">
        <v>1935001</v>
      </c>
      <c r="D49" s="107">
        <f t="shared" si="123"/>
        <v>44453.365972222222</v>
      </c>
      <c r="E49" s="107"/>
      <c r="F49" s="108">
        <f t="shared" si="124"/>
        <v>2.06</v>
      </c>
      <c r="G49" s="108">
        <f t="shared" si="125"/>
        <v>8.5</v>
      </c>
      <c r="H49" s="109">
        <f t="shared" si="126"/>
        <v>1163</v>
      </c>
      <c r="I49" s="110">
        <f t="shared" si="127"/>
        <v>8.6999999999999993</v>
      </c>
      <c r="J49" s="110">
        <f t="shared" si="128"/>
        <v>19.760000000000002</v>
      </c>
      <c r="K49" s="109" t="str">
        <f t="shared" si="129"/>
        <v>&gt;=1380</v>
      </c>
      <c r="L49" s="109">
        <f t="shared" si="130"/>
        <v>3100</v>
      </c>
      <c r="M49" s="109" t="str">
        <f t="shared" si="131"/>
        <v>&gt;=2500</v>
      </c>
      <c r="N49" s="109" t="str">
        <f t="shared" si="132"/>
        <v>&gt;=37000</v>
      </c>
      <c r="O49" s="110" t="str">
        <f t="shared" si="133"/>
        <v>&lt;0.1</v>
      </c>
      <c r="P49" s="108">
        <f t="shared" si="134"/>
        <v>1.2</v>
      </c>
      <c r="Q49" s="111">
        <f t="shared" si="135"/>
        <v>0.32</v>
      </c>
      <c r="R49" s="110">
        <f t="shared" si="136"/>
        <v>0.77</v>
      </c>
      <c r="S49" s="108">
        <f t="shared" si="137"/>
        <v>1.4</v>
      </c>
      <c r="T49" s="109" t="str">
        <f t="shared" si="138"/>
        <v>&lt;5.6</v>
      </c>
      <c r="U49" s="108">
        <f t="shared" si="139"/>
        <v>2.2999999999999998</v>
      </c>
      <c r="V49" s="110">
        <f t="shared" si="140"/>
        <v>7.84</v>
      </c>
      <c r="W49" s="109">
        <f t="shared" si="141"/>
        <v>1500</v>
      </c>
      <c r="X49" s="108">
        <f t="shared" si="142"/>
        <v>1</v>
      </c>
      <c r="Y49" s="108" t="str">
        <f t="shared" si="143"/>
        <v>&lt;2</v>
      </c>
      <c r="Z49" s="110" t="str">
        <f t="shared" si="144"/>
        <v>&lt;2</v>
      </c>
      <c r="AA49" s="110" t="str">
        <f t="shared" si="145"/>
        <v>&lt;2</v>
      </c>
      <c r="AB49" s="108" t="str">
        <f t="shared" si="146"/>
        <v>&lt;1</v>
      </c>
      <c r="AC49" s="108" t="str">
        <f t="shared" si="147"/>
        <v>&lt;5</v>
      </c>
      <c r="AD49" s="106">
        <f t="shared" si="148"/>
        <v>150</v>
      </c>
      <c r="AE49" s="106">
        <f t="shared" si="149"/>
        <v>7.3</v>
      </c>
      <c r="AF49" s="109">
        <f t="shared" si="150"/>
        <v>312</v>
      </c>
      <c r="AG49" s="106" t="str">
        <f t="shared" si="151"/>
        <v>&lt;0.05</v>
      </c>
      <c r="AH49" s="109">
        <f t="shared" si="152"/>
        <v>290</v>
      </c>
      <c r="AI49" s="109">
        <f t="shared" si="153"/>
        <v>700</v>
      </c>
      <c r="AJ49" s="106">
        <f t="shared" si="154"/>
        <v>7.4</v>
      </c>
      <c r="AK49" s="106" t="str">
        <f t="shared" si="155"/>
        <v>&lt;0.2</v>
      </c>
      <c r="AL49" s="106">
        <f t="shared" si="156"/>
        <v>2.1</v>
      </c>
      <c r="AM49" s="106" t="str">
        <f t="shared" si="157"/>
        <v>&lt;0.2</v>
      </c>
      <c r="AN49" s="111">
        <f t="shared" si="158"/>
        <v>0.38</v>
      </c>
      <c r="AO49" s="106">
        <f t="shared" si="159"/>
        <v>9.5000000000000001E-2</v>
      </c>
      <c r="AP49" s="111">
        <f t="shared" si="61"/>
        <v>0.28500000000000003</v>
      </c>
      <c r="AQ49" s="106">
        <f t="shared" si="160"/>
        <v>5.3</v>
      </c>
      <c r="AR49" s="109">
        <f t="shared" si="161"/>
        <v>88</v>
      </c>
      <c r="AS49" s="108">
        <f t="shared" si="162"/>
        <v>3.2</v>
      </c>
      <c r="AT49" s="109" t="str">
        <f t="shared" si="163"/>
        <v>&lt;0.05</v>
      </c>
      <c r="AU49" s="108" t="str">
        <f t="shared" si="164"/>
        <v>&lt;2</v>
      </c>
      <c r="AV49" s="110" t="str">
        <f t="shared" si="165"/>
        <v>&lt;0.2</v>
      </c>
      <c r="AW49" s="108">
        <f t="shared" si="166"/>
        <v>1.3</v>
      </c>
      <c r="AX49" s="108" t="str">
        <f t="shared" si="167"/>
        <v>&lt;0.2</v>
      </c>
      <c r="AY49" s="231" t="str">
        <f t="shared" si="168"/>
        <v>&lt;10</v>
      </c>
      <c r="AZ49" s="223">
        <v>1935007</v>
      </c>
      <c r="BA49" s="106" t="str">
        <f t="shared" si="169"/>
        <v>&lt;0.2</v>
      </c>
      <c r="BB49" s="106">
        <f t="shared" si="170"/>
        <v>2.1</v>
      </c>
      <c r="BC49" s="111" t="str">
        <f t="shared" si="171"/>
        <v>&lt;0.2</v>
      </c>
      <c r="BD49" s="111">
        <f t="shared" si="172"/>
        <v>0.2</v>
      </c>
      <c r="BE49" s="106">
        <f t="shared" si="173"/>
        <v>9.4E-2</v>
      </c>
      <c r="BF49" s="111">
        <f t="shared" si="62"/>
        <v>0.10600000000000001</v>
      </c>
      <c r="BG49" s="106">
        <f t="shared" si="174"/>
        <v>4.5</v>
      </c>
      <c r="BH49" s="109" t="str">
        <f t="shared" si="175"/>
        <v>&lt;20</v>
      </c>
      <c r="BI49" s="108">
        <f t="shared" si="176"/>
        <v>1.1000000000000001</v>
      </c>
      <c r="BJ49" s="109" t="str">
        <f t="shared" si="177"/>
        <v>&lt;0.05</v>
      </c>
      <c r="BK49" s="112" t="str">
        <f t="shared" si="178"/>
        <v>&lt;2</v>
      </c>
      <c r="BL49" s="110">
        <f t="shared" si="179"/>
        <v>0.2</v>
      </c>
      <c r="BM49" s="108">
        <f t="shared" si="180"/>
        <v>1.3</v>
      </c>
      <c r="BN49" s="110" t="str">
        <f t="shared" si="181"/>
        <v>&lt;0.2</v>
      </c>
      <c r="BO49" s="113" t="str">
        <f t="shared" si="182"/>
        <v>&lt;10</v>
      </c>
    </row>
    <row r="50" spans="1:72" s="119" customFormat="1" ht="27" customHeight="1" x14ac:dyDescent="0.4">
      <c r="A50" s="266" t="s">
        <v>163</v>
      </c>
      <c r="B50" s="115" t="str">
        <f t="shared" si="183"/>
        <v>San Clemente</v>
      </c>
      <c r="C50" s="223">
        <v>1935005</v>
      </c>
      <c r="D50" s="107">
        <f t="shared" si="123"/>
        <v>44453.393055555556</v>
      </c>
      <c r="E50" s="107"/>
      <c r="F50" s="108">
        <f t="shared" si="124"/>
        <v>9.61</v>
      </c>
      <c r="G50" s="108">
        <f t="shared" si="125"/>
        <v>8.52</v>
      </c>
      <c r="H50" s="109">
        <f t="shared" si="126"/>
        <v>5961.5</v>
      </c>
      <c r="I50" s="110">
        <f t="shared" si="127"/>
        <v>6.82</v>
      </c>
      <c r="J50" s="110">
        <f t="shared" si="128"/>
        <v>19.78</v>
      </c>
      <c r="K50" s="109">
        <f t="shared" si="129"/>
        <v>890</v>
      </c>
      <c r="L50" s="109">
        <f t="shared" si="130"/>
        <v>90</v>
      </c>
      <c r="M50" s="109">
        <f t="shared" si="131"/>
        <v>2000</v>
      </c>
      <c r="N50" s="109" t="str">
        <f t="shared" si="132"/>
        <v>&gt;=6000</v>
      </c>
      <c r="O50" s="110">
        <f t="shared" si="133"/>
        <v>2.4</v>
      </c>
      <c r="P50" s="108">
        <f t="shared" si="134"/>
        <v>3.3</v>
      </c>
      <c r="Q50" s="111">
        <f t="shared" si="135"/>
        <v>7.5999999999999998E-2</v>
      </c>
      <c r="R50" s="108">
        <f t="shared" si="136"/>
        <v>4</v>
      </c>
      <c r="S50" s="108">
        <f t="shared" si="137"/>
        <v>1.6</v>
      </c>
      <c r="T50" s="108">
        <f t="shared" si="138"/>
        <v>5.8</v>
      </c>
      <c r="U50" s="109">
        <f t="shared" si="139"/>
        <v>24</v>
      </c>
      <c r="V50" s="110">
        <f t="shared" si="140"/>
        <v>6.99</v>
      </c>
      <c r="W50" s="109">
        <f t="shared" si="141"/>
        <v>7100</v>
      </c>
      <c r="X50" s="108">
        <f t="shared" si="142"/>
        <v>8.6</v>
      </c>
      <c r="Y50" s="108" t="str">
        <f t="shared" si="143"/>
        <v>&lt;2</v>
      </c>
      <c r="Z50" s="110" t="str">
        <f t="shared" si="144"/>
        <v>&lt;2</v>
      </c>
      <c r="AA50" s="110" t="str">
        <f t="shared" si="145"/>
        <v>&lt;2</v>
      </c>
      <c r="AB50" s="108" t="str">
        <f t="shared" si="146"/>
        <v>&lt;1</v>
      </c>
      <c r="AC50" s="108" t="str">
        <f t="shared" si="147"/>
        <v>&lt;5</v>
      </c>
      <c r="AD50" s="106">
        <f t="shared" si="148"/>
        <v>690</v>
      </c>
      <c r="AE50" s="106">
        <f t="shared" si="149"/>
        <v>18</v>
      </c>
      <c r="AF50" s="109">
        <f t="shared" si="150"/>
        <v>2260</v>
      </c>
      <c r="AG50" s="106" t="str">
        <f t="shared" si="151"/>
        <v>&lt;0.05</v>
      </c>
      <c r="AH50" s="109">
        <f t="shared" si="152"/>
        <v>2700</v>
      </c>
      <c r="AI50" s="109">
        <f t="shared" si="153"/>
        <v>4800</v>
      </c>
      <c r="AJ50" s="106">
        <f t="shared" si="154"/>
        <v>18</v>
      </c>
      <c r="AK50" s="106" t="str">
        <f t="shared" si="155"/>
        <v>&lt;0.2</v>
      </c>
      <c r="AL50" s="106">
        <f t="shared" si="156"/>
        <v>4.5999999999999996</v>
      </c>
      <c r="AM50" s="106">
        <f t="shared" si="157"/>
        <v>110</v>
      </c>
      <c r="AN50" s="111">
        <f t="shared" si="158"/>
        <v>0.84</v>
      </c>
      <c r="AO50" s="106" t="str">
        <f t="shared" si="159"/>
        <v>&lt;0.02</v>
      </c>
      <c r="AP50" s="111" t="s">
        <v>264</v>
      </c>
      <c r="AQ50" s="106">
        <f t="shared" si="160"/>
        <v>4.9000000000000004</v>
      </c>
      <c r="AR50" s="109">
        <f t="shared" si="161"/>
        <v>810</v>
      </c>
      <c r="AS50" s="109">
        <f t="shared" si="162"/>
        <v>3600</v>
      </c>
      <c r="AT50" s="109" t="str">
        <f t="shared" si="163"/>
        <v>&lt;0.05</v>
      </c>
      <c r="AU50" s="109">
        <f t="shared" si="164"/>
        <v>690</v>
      </c>
      <c r="AV50" s="110" t="str">
        <f t="shared" si="165"/>
        <v>&lt;0.2</v>
      </c>
      <c r="AW50" s="109">
        <f t="shared" si="166"/>
        <v>23</v>
      </c>
      <c r="AX50" s="110">
        <f t="shared" si="167"/>
        <v>0.36</v>
      </c>
      <c r="AY50" s="231">
        <f t="shared" si="168"/>
        <v>310</v>
      </c>
      <c r="AZ50" s="223">
        <v>1935011</v>
      </c>
      <c r="BA50" s="106" t="str">
        <f t="shared" si="169"/>
        <v>&lt;0.2</v>
      </c>
      <c r="BB50" s="106">
        <f t="shared" si="170"/>
        <v>1.6</v>
      </c>
      <c r="BC50" s="231">
        <f t="shared" si="171"/>
        <v>100</v>
      </c>
      <c r="BD50" s="111">
        <f t="shared" si="172"/>
        <v>0.77</v>
      </c>
      <c r="BE50" s="106" t="str">
        <f t="shared" si="173"/>
        <v>&lt;0.02</v>
      </c>
      <c r="BF50" s="111" t="s">
        <v>269</v>
      </c>
      <c r="BG50" s="106">
        <f t="shared" si="174"/>
        <v>4.2</v>
      </c>
      <c r="BH50" s="109">
        <f t="shared" si="175"/>
        <v>190</v>
      </c>
      <c r="BI50" s="109">
        <f t="shared" si="176"/>
        <v>3200</v>
      </c>
      <c r="BJ50" s="109" t="str">
        <f t="shared" si="177"/>
        <v>&lt;0.05</v>
      </c>
      <c r="BK50" s="231">
        <f t="shared" si="178"/>
        <v>660</v>
      </c>
      <c r="BL50" s="110" t="str">
        <f t="shared" si="179"/>
        <v>&lt;0.2</v>
      </c>
      <c r="BM50" s="109">
        <f t="shared" si="180"/>
        <v>18</v>
      </c>
      <c r="BN50" s="110">
        <f t="shared" si="181"/>
        <v>0.34</v>
      </c>
      <c r="BO50" s="113">
        <f t="shared" si="182"/>
        <v>280</v>
      </c>
    </row>
    <row r="51" spans="1:72" s="119" customFormat="1" ht="27" customHeight="1" x14ac:dyDescent="0.4">
      <c r="A51" s="266" t="s">
        <v>160</v>
      </c>
      <c r="B51" s="106" t="str">
        <f t="shared" si="183"/>
        <v>San Clemente</v>
      </c>
      <c r="C51" s="223">
        <v>1935003</v>
      </c>
      <c r="D51" s="107">
        <f t="shared" si="123"/>
        <v>44453.406944444447</v>
      </c>
      <c r="E51" s="107"/>
      <c r="F51" s="108">
        <f t="shared" si="124"/>
        <v>66.400000000000006</v>
      </c>
      <c r="G51" s="108">
        <f t="shared" si="125"/>
        <v>8.74</v>
      </c>
      <c r="H51" s="109">
        <f t="shared" si="126"/>
        <v>2416</v>
      </c>
      <c r="I51" s="110">
        <f t="shared" si="127"/>
        <v>8.67</v>
      </c>
      <c r="J51" s="110">
        <f t="shared" si="128"/>
        <v>18.510000000000002</v>
      </c>
      <c r="K51" s="109">
        <f t="shared" si="129"/>
        <v>430</v>
      </c>
      <c r="L51" s="109">
        <f t="shared" si="130"/>
        <v>840</v>
      </c>
      <c r="M51" s="109">
        <f t="shared" si="131"/>
        <v>400</v>
      </c>
      <c r="N51" s="109" t="str">
        <f t="shared" si="132"/>
        <v>&gt;=6400</v>
      </c>
      <c r="O51" s="110" t="str">
        <f t="shared" si="133"/>
        <v>&lt;0.1</v>
      </c>
      <c r="P51" s="108">
        <f t="shared" si="134"/>
        <v>4.3</v>
      </c>
      <c r="Q51" s="111">
        <f t="shared" si="135"/>
        <v>0.33</v>
      </c>
      <c r="R51" s="108">
        <f t="shared" si="136"/>
        <v>2.4</v>
      </c>
      <c r="S51" s="108">
        <f t="shared" si="137"/>
        <v>1.4</v>
      </c>
      <c r="T51" s="109">
        <f t="shared" si="138"/>
        <v>34</v>
      </c>
      <c r="U51" s="109">
        <f t="shared" si="139"/>
        <v>280</v>
      </c>
      <c r="V51" s="110">
        <f t="shared" si="140"/>
        <v>7.99</v>
      </c>
      <c r="W51" s="109">
        <f t="shared" si="141"/>
        <v>3000</v>
      </c>
      <c r="X51" s="108">
        <f t="shared" si="142"/>
        <v>2.5</v>
      </c>
      <c r="Y51" s="108" t="str">
        <f t="shared" si="143"/>
        <v>&lt;2</v>
      </c>
      <c r="Z51" s="110" t="str">
        <f t="shared" si="144"/>
        <v>&lt;2</v>
      </c>
      <c r="AA51" s="110" t="str">
        <f t="shared" si="145"/>
        <v>&lt;2</v>
      </c>
      <c r="AB51" s="108" t="str">
        <f t="shared" si="146"/>
        <v>&lt;1</v>
      </c>
      <c r="AC51" s="108" t="str">
        <f t="shared" si="147"/>
        <v>&lt;5</v>
      </c>
      <c r="AD51" s="106">
        <f t="shared" si="148"/>
        <v>310</v>
      </c>
      <c r="AE51" s="106">
        <f t="shared" si="149"/>
        <v>11</v>
      </c>
      <c r="AF51" s="109">
        <f t="shared" si="150"/>
        <v>681</v>
      </c>
      <c r="AG51" s="106" t="str">
        <f t="shared" si="151"/>
        <v>&lt;0.05</v>
      </c>
      <c r="AH51" s="109">
        <f t="shared" si="152"/>
        <v>670</v>
      </c>
      <c r="AI51" s="109">
        <f t="shared" si="153"/>
        <v>1600</v>
      </c>
      <c r="AJ51" s="106">
        <f t="shared" si="154"/>
        <v>11</v>
      </c>
      <c r="AK51" s="106" t="str">
        <f t="shared" si="155"/>
        <v>&lt;0.2</v>
      </c>
      <c r="AL51" s="106">
        <f t="shared" si="156"/>
        <v>3.2</v>
      </c>
      <c r="AM51" s="106">
        <f t="shared" si="157"/>
        <v>1.5</v>
      </c>
      <c r="AN51" s="112">
        <f t="shared" si="158"/>
        <v>4.0999999999999996</v>
      </c>
      <c r="AO51" s="106">
        <f t="shared" si="159"/>
        <v>4.8000000000000001E-2</v>
      </c>
      <c r="AP51" s="111">
        <f t="shared" si="61"/>
        <v>4.0519999999999996</v>
      </c>
      <c r="AQ51" s="106">
        <f t="shared" si="160"/>
        <v>7.7</v>
      </c>
      <c r="AR51" s="109">
        <f t="shared" si="161"/>
        <v>3200</v>
      </c>
      <c r="AS51" s="109">
        <f t="shared" si="162"/>
        <v>460</v>
      </c>
      <c r="AT51" s="109" t="str">
        <f t="shared" si="163"/>
        <v>&lt;0.05</v>
      </c>
      <c r="AU51" s="109">
        <f t="shared" si="164"/>
        <v>18</v>
      </c>
      <c r="AV51" s="108">
        <f t="shared" si="165"/>
        <v>1.1000000000000001</v>
      </c>
      <c r="AW51" s="108">
        <f t="shared" si="166"/>
        <v>2.4</v>
      </c>
      <c r="AX51" s="108" t="str">
        <f t="shared" si="167"/>
        <v>&lt;0.2</v>
      </c>
      <c r="AY51" s="231">
        <f t="shared" si="168"/>
        <v>47</v>
      </c>
      <c r="AZ51" s="223">
        <v>1935009</v>
      </c>
      <c r="BA51" s="106" t="str">
        <f t="shared" si="169"/>
        <v>&lt;0.2</v>
      </c>
      <c r="BB51" s="106">
        <f t="shared" si="170"/>
        <v>2.5</v>
      </c>
      <c r="BC51" s="111">
        <f t="shared" si="171"/>
        <v>0.48</v>
      </c>
      <c r="BD51" s="111">
        <f t="shared" si="172"/>
        <v>0.3</v>
      </c>
      <c r="BE51" s="106">
        <f t="shared" si="173"/>
        <v>3.5999999999999997E-2</v>
      </c>
      <c r="BF51" s="111">
        <f t="shared" si="62"/>
        <v>0.26400000000000001</v>
      </c>
      <c r="BG51" s="106">
        <f t="shared" si="174"/>
        <v>2.2000000000000002</v>
      </c>
      <c r="BH51" s="109">
        <f t="shared" si="175"/>
        <v>37</v>
      </c>
      <c r="BI51" s="109">
        <f t="shared" si="176"/>
        <v>66</v>
      </c>
      <c r="BJ51" s="109" t="str">
        <f t="shared" si="177"/>
        <v>&lt;0.05</v>
      </c>
      <c r="BK51" s="112">
        <f t="shared" si="178"/>
        <v>7.9</v>
      </c>
      <c r="BL51" s="110" t="str">
        <f t="shared" si="179"/>
        <v>&lt;0.2</v>
      </c>
      <c r="BM51" s="108">
        <f t="shared" si="180"/>
        <v>2.4</v>
      </c>
      <c r="BN51" s="110" t="str">
        <f t="shared" si="181"/>
        <v>&lt;0.2</v>
      </c>
      <c r="BO51" s="113" t="str">
        <f t="shared" si="182"/>
        <v>&lt;10</v>
      </c>
    </row>
    <row r="52" spans="1:72" s="119" customFormat="1" ht="27" customHeight="1" x14ac:dyDescent="0.4">
      <c r="A52" s="266" t="s">
        <v>166</v>
      </c>
      <c r="B52" s="115" t="str">
        <f t="shared" si="183"/>
        <v>San Clemente</v>
      </c>
      <c r="C52" s="223">
        <v>1935006</v>
      </c>
      <c r="D52" s="107">
        <f t="shared" si="123"/>
        <v>44453.420138888891</v>
      </c>
      <c r="E52" s="118"/>
      <c r="F52" s="108">
        <f t="shared" si="124"/>
        <v>1.32</v>
      </c>
      <c r="G52" s="108">
        <f t="shared" si="125"/>
        <v>8.69</v>
      </c>
      <c r="H52" s="109">
        <f t="shared" si="126"/>
        <v>2179.8000000000002</v>
      </c>
      <c r="I52" s="110">
        <f t="shared" si="127"/>
        <v>7.76</v>
      </c>
      <c r="J52" s="110">
        <f t="shared" si="128"/>
        <v>19.440000000000001</v>
      </c>
      <c r="K52" s="109" t="str">
        <f t="shared" si="129"/>
        <v>&gt;=1020</v>
      </c>
      <c r="L52" s="109">
        <f t="shared" si="130"/>
        <v>5400</v>
      </c>
      <c r="M52" s="109">
        <f t="shared" si="131"/>
        <v>1400</v>
      </c>
      <c r="N52" s="109" t="str">
        <f t="shared" si="132"/>
        <v>&gt;=39000</v>
      </c>
      <c r="O52" s="110">
        <f t="shared" si="133"/>
        <v>0.16</v>
      </c>
      <c r="P52" s="108">
        <f t="shared" si="134"/>
        <v>4.4000000000000004</v>
      </c>
      <c r="Q52" s="111">
        <f t="shared" si="135"/>
        <v>0.36</v>
      </c>
      <c r="R52" s="108">
        <f t="shared" si="136"/>
        <v>0.96</v>
      </c>
      <c r="S52" s="108">
        <f t="shared" si="137"/>
        <v>1.5</v>
      </c>
      <c r="T52" s="109" t="str">
        <f t="shared" si="138"/>
        <v>&lt;5.6</v>
      </c>
      <c r="U52" s="108">
        <f t="shared" si="139"/>
        <v>1.1000000000000001</v>
      </c>
      <c r="V52" s="110">
        <f t="shared" si="140"/>
        <v>7.94</v>
      </c>
      <c r="W52" s="109">
        <f t="shared" si="141"/>
        <v>2700</v>
      </c>
      <c r="X52" s="110">
        <f t="shared" si="142"/>
        <v>0.9</v>
      </c>
      <c r="Y52" s="108" t="str">
        <f t="shared" si="143"/>
        <v>&lt;2</v>
      </c>
      <c r="Z52" s="110" t="str">
        <f t="shared" si="144"/>
        <v>&lt;2</v>
      </c>
      <c r="AA52" s="110" t="str">
        <f t="shared" si="145"/>
        <v>&lt;2</v>
      </c>
      <c r="AB52" s="108" t="str">
        <f t="shared" si="146"/>
        <v>&lt;1</v>
      </c>
      <c r="AC52" s="108" t="str">
        <f t="shared" si="147"/>
        <v>&lt;5</v>
      </c>
      <c r="AD52" s="106">
        <f t="shared" si="148"/>
        <v>280</v>
      </c>
      <c r="AE52" s="106">
        <f t="shared" si="149"/>
        <v>11</v>
      </c>
      <c r="AF52" s="109">
        <f t="shared" si="150"/>
        <v>619</v>
      </c>
      <c r="AG52" s="106" t="str">
        <f t="shared" si="151"/>
        <v>&lt;0.05</v>
      </c>
      <c r="AH52" s="109">
        <f t="shared" si="152"/>
        <v>580</v>
      </c>
      <c r="AI52" s="109">
        <f t="shared" si="153"/>
        <v>1300</v>
      </c>
      <c r="AJ52" s="106">
        <f t="shared" si="154"/>
        <v>10</v>
      </c>
      <c r="AK52" s="106" t="str">
        <f t="shared" si="155"/>
        <v>&lt;0.2</v>
      </c>
      <c r="AL52" s="106">
        <f t="shared" si="156"/>
        <v>2.4</v>
      </c>
      <c r="AM52" s="106">
        <f t="shared" si="157"/>
        <v>1.2</v>
      </c>
      <c r="AN52" s="111">
        <f t="shared" si="158"/>
        <v>0.51</v>
      </c>
      <c r="AO52" s="106">
        <f t="shared" si="159"/>
        <v>0.16</v>
      </c>
      <c r="AP52" s="111">
        <f t="shared" si="61"/>
        <v>0.35</v>
      </c>
      <c r="AQ52" s="106">
        <f t="shared" si="160"/>
        <v>5.8</v>
      </c>
      <c r="AR52" s="109">
        <f t="shared" si="161"/>
        <v>61</v>
      </c>
      <c r="AS52" s="109">
        <f t="shared" si="162"/>
        <v>18</v>
      </c>
      <c r="AT52" s="109" t="str">
        <f t="shared" si="163"/>
        <v>&lt;0.05</v>
      </c>
      <c r="AU52" s="108">
        <f t="shared" si="164"/>
        <v>9.6999999999999993</v>
      </c>
      <c r="AV52" s="110" t="str">
        <f t="shared" si="165"/>
        <v>&lt;0.2</v>
      </c>
      <c r="AW52" s="108">
        <f t="shared" si="166"/>
        <v>3.1</v>
      </c>
      <c r="AX52" s="108" t="str">
        <f t="shared" si="167"/>
        <v>&lt;0.2</v>
      </c>
      <c r="AY52" s="231" t="str">
        <f t="shared" si="168"/>
        <v>&lt;10</v>
      </c>
      <c r="AZ52" s="223">
        <v>1935012</v>
      </c>
      <c r="BA52" s="106" t="str">
        <f t="shared" si="169"/>
        <v>&lt;0.2</v>
      </c>
      <c r="BB52" s="106">
        <f t="shared" si="170"/>
        <v>2.4</v>
      </c>
      <c r="BC52" s="111">
        <f t="shared" si="171"/>
        <v>0.74</v>
      </c>
      <c r="BD52" s="111">
        <f t="shared" si="172"/>
        <v>0.47</v>
      </c>
      <c r="BE52" s="106">
        <f t="shared" si="173"/>
        <v>0.16</v>
      </c>
      <c r="BF52" s="111">
        <f t="shared" si="62"/>
        <v>0.30999999999999994</v>
      </c>
      <c r="BG52" s="106">
        <f t="shared" si="174"/>
        <v>5.0999999999999996</v>
      </c>
      <c r="BH52" s="109">
        <f t="shared" si="175"/>
        <v>23</v>
      </c>
      <c r="BI52" s="109">
        <f t="shared" si="176"/>
        <v>13</v>
      </c>
      <c r="BJ52" s="109" t="str">
        <f t="shared" si="177"/>
        <v>&lt;0.05</v>
      </c>
      <c r="BK52" s="112">
        <f t="shared" si="178"/>
        <v>9.6999999999999993</v>
      </c>
      <c r="BL52" s="110" t="str">
        <f t="shared" si="179"/>
        <v>&lt;0.2</v>
      </c>
      <c r="BM52" s="108">
        <f t="shared" si="180"/>
        <v>3.1</v>
      </c>
      <c r="BN52" s="110" t="str">
        <f t="shared" si="181"/>
        <v>&lt;0.2</v>
      </c>
      <c r="BO52" s="113" t="str">
        <f t="shared" si="182"/>
        <v>&lt;10</v>
      </c>
    </row>
    <row r="53" spans="1:72" s="119" customFormat="1" ht="27" customHeight="1" x14ac:dyDescent="0.4">
      <c r="A53" s="266" t="s">
        <v>161</v>
      </c>
      <c r="B53" s="115" t="str">
        <f t="shared" si="183"/>
        <v>San Clemente</v>
      </c>
      <c r="C53" s="223">
        <v>1935004</v>
      </c>
      <c r="D53" s="107">
        <f t="shared" si="123"/>
        <v>44453.449305555558</v>
      </c>
      <c r="E53" s="118"/>
      <c r="F53" s="108" t="str">
        <f t="shared" si="124"/>
        <v>NA</v>
      </c>
      <c r="G53" s="108">
        <f t="shared" si="125"/>
        <v>7.47</v>
      </c>
      <c r="H53" s="109">
        <f t="shared" si="126"/>
        <v>3834</v>
      </c>
      <c r="I53" s="110">
        <f t="shared" si="127"/>
        <v>8.1</v>
      </c>
      <c r="J53" s="110">
        <f t="shared" si="128"/>
        <v>22.83</v>
      </c>
      <c r="K53" s="109">
        <f t="shared" si="129"/>
        <v>760</v>
      </c>
      <c r="L53" s="109">
        <f t="shared" si="130"/>
        <v>3500</v>
      </c>
      <c r="M53" s="109">
        <f t="shared" si="131"/>
        <v>2100</v>
      </c>
      <c r="N53" s="109" t="str">
        <f t="shared" si="132"/>
        <v>&gt;=21000</v>
      </c>
      <c r="O53" s="110">
        <f t="shared" si="133"/>
        <v>0.34</v>
      </c>
      <c r="P53" s="108">
        <f t="shared" si="134"/>
        <v>4.7</v>
      </c>
      <c r="Q53" s="111">
        <f t="shared" si="135"/>
        <v>0.3</v>
      </c>
      <c r="R53" s="108">
        <f t="shared" si="136"/>
        <v>1.9</v>
      </c>
      <c r="S53" s="108">
        <f t="shared" si="137"/>
        <v>1.3</v>
      </c>
      <c r="T53" s="108">
        <f t="shared" si="138"/>
        <v>6.3</v>
      </c>
      <c r="U53" s="109">
        <f t="shared" si="139"/>
        <v>31</v>
      </c>
      <c r="V53" s="110">
        <f t="shared" si="140"/>
        <v>7.63</v>
      </c>
      <c r="W53" s="109">
        <f t="shared" si="141"/>
        <v>4800</v>
      </c>
      <c r="X53" s="108">
        <f t="shared" si="142"/>
        <v>2.5</v>
      </c>
      <c r="Y53" s="108" t="str">
        <f t="shared" si="143"/>
        <v>&lt;2</v>
      </c>
      <c r="Z53" s="110" t="str">
        <f t="shared" si="144"/>
        <v>&lt;2</v>
      </c>
      <c r="AA53" s="110" t="str">
        <f t="shared" si="145"/>
        <v>&lt;2</v>
      </c>
      <c r="AB53" s="108" t="str">
        <f t="shared" si="146"/>
        <v>&lt;1</v>
      </c>
      <c r="AC53" s="108" t="str">
        <f t="shared" si="147"/>
        <v>&lt;5</v>
      </c>
      <c r="AD53" s="106">
        <f t="shared" si="148"/>
        <v>510</v>
      </c>
      <c r="AE53" s="106">
        <f t="shared" si="149"/>
        <v>13</v>
      </c>
      <c r="AF53" s="109">
        <f t="shared" si="150"/>
        <v>1240</v>
      </c>
      <c r="AG53" s="106" t="str">
        <f t="shared" si="151"/>
        <v>&lt;0.05</v>
      </c>
      <c r="AH53" s="109">
        <f t="shared" si="152"/>
        <v>1400</v>
      </c>
      <c r="AI53" s="109">
        <f t="shared" si="153"/>
        <v>2900</v>
      </c>
      <c r="AJ53" s="106">
        <f t="shared" si="154"/>
        <v>14</v>
      </c>
      <c r="AK53" s="106" t="str">
        <f t="shared" si="155"/>
        <v>&lt;0.2</v>
      </c>
      <c r="AL53" s="106">
        <f t="shared" si="156"/>
        <v>2.7</v>
      </c>
      <c r="AM53" s="106">
        <f t="shared" si="157"/>
        <v>6.2</v>
      </c>
      <c r="AN53" s="112">
        <f t="shared" si="158"/>
        <v>1.6</v>
      </c>
      <c r="AO53" s="106" t="str">
        <f t="shared" si="159"/>
        <v>&lt;0.02</v>
      </c>
      <c r="AP53" s="111" t="s">
        <v>265</v>
      </c>
      <c r="AQ53" s="106">
        <f t="shared" si="160"/>
        <v>5.0999999999999996</v>
      </c>
      <c r="AR53" s="109">
        <f t="shared" si="161"/>
        <v>920</v>
      </c>
      <c r="AS53" s="109">
        <f t="shared" si="162"/>
        <v>470</v>
      </c>
      <c r="AT53" s="109" t="str">
        <f t="shared" si="163"/>
        <v>&lt;0.05</v>
      </c>
      <c r="AU53" s="109">
        <f t="shared" si="164"/>
        <v>62</v>
      </c>
      <c r="AV53" s="110">
        <f t="shared" si="165"/>
        <v>0.36</v>
      </c>
      <c r="AW53" s="108">
        <f t="shared" si="166"/>
        <v>6.6</v>
      </c>
      <c r="AX53" s="108" t="str">
        <f t="shared" si="167"/>
        <v>&lt;0.2</v>
      </c>
      <c r="AY53" s="231">
        <f t="shared" si="168"/>
        <v>33</v>
      </c>
      <c r="AZ53" s="223">
        <v>1935010</v>
      </c>
      <c r="BA53" s="106" t="str">
        <f t="shared" si="169"/>
        <v>&lt;0.2</v>
      </c>
      <c r="BB53" s="106">
        <f t="shared" si="170"/>
        <v>2.2999999999999998</v>
      </c>
      <c r="BC53" s="112">
        <f t="shared" si="171"/>
        <v>1.6</v>
      </c>
      <c r="BD53" s="111">
        <f t="shared" si="172"/>
        <v>0.34</v>
      </c>
      <c r="BE53" s="106" t="str">
        <f t="shared" si="173"/>
        <v>&lt;0.02</v>
      </c>
      <c r="BF53" s="111" t="s">
        <v>270</v>
      </c>
      <c r="BG53" s="106">
        <f t="shared" si="174"/>
        <v>2.7</v>
      </c>
      <c r="BH53" s="109">
        <f t="shared" si="175"/>
        <v>30</v>
      </c>
      <c r="BI53" s="109">
        <f t="shared" si="176"/>
        <v>390</v>
      </c>
      <c r="BJ53" s="109" t="str">
        <f t="shared" si="177"/>
        <v>&lt;0.05</v>
      </c>
      <c r="BK53" s="231">
        <f t="shared" si="178"/>
        <v>56</v>
      </c>
      <c r="BL53" s="110" t="str">
        <f t="shared" si="179"/>
        <v>&lt;0.2</v>
      </c>
      <c r="BM53" s="108">
        <f t="shared" si="180"/>
        <v>6.4</v>
      </c>
      <c r="BN53" s="110" t="str">
        <f t="shared" si="181"/>
        <v>&lt;0.2</v>
      </c>
      <c r="BO53" s="113">
        <f t="shared" si="182"/>
        <v>16</v>
      </c>
    </row>
    <row r="54" spans="1:72" s="119" customFormat="1" ht="27" customHeight="1" x14ac:dyDescent="0.4">
      <c r="A54" s="105" t="s">
        <v>167</v>
      </c>
      <c r="B54" s="115" t="str">
        <f t="shared" si="183"/>
        <v>San Juan Capistrano</v>
      </c>
      <c r="C54" s="223"/>
      <c r="D54" s="107">
        <v>44440.432638888888</v>
      </c>
      <c r="E54" s="118" t="s">
        <v>118</v>
      </c>
      <c r="F54" s="271"/>
      <c r="G54" s="271"/>
      <c r="H54" s="272"/>
      <c r="I54" s="273"/>
      <c r="J54" s="273"/>
      <c r="K54" s="272"/>
      <c r="L54" s="272"/>
      <c r="M54" s="272"/>
      <c r="N54" s="272"/>
      <c r="O54" s="273"/>
      <c r="P54" s="272"/>
      <c r="Q54" s="274"/>
      <c r="R54" s="271"/>
      <c r="S54" s="271"/>
      <c r="T54" s="272"/>
      <c r="U54" s="271"/>
      <c r="V54" s="273"/>
      <c r="W54" s="272"/>
      <c r="X54" s="273"/>
      <c r="Y54" s="271"/>
      <c r="Z54" s="273"/>
      <c r="AA54" s="273"/>
      <c r="AB54" s="271"/>
      <c r="AC54" s="271"/>
      <c r="AD54" s="275"/>
      <c r="AE54" s="275"/>
      <c r="AF54" s="272"/>
      <c r="AG54" s="275"/>
      <c r="AH54" s="272"/>
      <c r="AI54" s="272"/>
      <c r="AJ54" s="275"/>
      <c r="AK54" s="275"/>
      <c r="AL54" s="275"/>
      <c r="AM54" s="275"/>
      <c r="AN54" s="274"/>
      <c r="AO54" s="275"/>
      <c r="AP54" s="274"/>
      <c r="AQ54" s="275"/>
      <c r="AR54" s="272"/>
      <c r="AS54" s="272"/>
      <c r="AT54" s="272"/>
      <c r="AU54" s="272"/>
      <c r="AV54" s="273"/>
      <c r="AW54" s="271"/>
      <c r="AX54" s="271"/>
      <c r="AY54" s="276"/>
      <c r="AZ54" s="331"/>
      <c r="BA54" s="275"/>
      <c r="BB54" s="275"/>
      <c r="BC54" s="276"/>
      <c r="BD54" s="274"/>
      <c r="BE54" s="275"/>
      <c r="BF54" s="274"/>
      <c r="BG54" s="275"/>
      <c r="BH54" s="272"/>
      <c r="BI54" s="272"/>
      <c r="BJ54" s="272"/>
      <c r="BK54" s="276"/>
      <c r="BL54" s="273"/>
      <c r="BM54" s="271"/>
      <c r="BN54" s="273"/>
      <c r="BO54" s="278"/>
    </row>
    <row r="55" spans="1:72" s="119" customFormat="1" ht="27" customHeight="1" x14ac:dyDescent="0.4">
      <c r="A55" s="105" t="s">
        <v>168</v>
      </c>
      <c r="B55" s="115" t="str">
        <f t="shared" si="183"/>
        <v>San Juan Capistrano</v>
      </c>
      <c r="C55" s="223"/>
      <c r="D55" s="107">
        <v>44440.429861111108</v>
      </c>
      <c r="E55" s="118" t="s">
        <v>135</v>
      </c>
      <c r="F55" s="271"/>
      <c r="G55" s="271"/>
      <c r="H55" s="272"/>
      <c r="I55" s="273"/>
      <c r="J55" s="273"/>
      <c r="K55" s="272"/>
      <c r="L55" s="272"/>
      <c r="M55" s="272"/>
      <c r="N55" s="272"/>
      <c r="O55" s="273"/>
      <c r="P55" s="272"/>
      <c r="Q55" s="274"/>
      <c r="R55" s="271"/>
      <c r="S55" s="271"/>
      <c r="T55" s="272"/>
      <c r="U55" s="271"/>
      <c r="V55" s="273"/>
      <c r="W55" s="272"/>
      <c r="X55" s="273"/>
      <c r="Y55" s="271"/>
      <c r="Z55" s="273"/>
      <c r="AA55" s="273"/>
      <c r="AB55" s="271"/>
      <c r="AC55" s="271"/>
      <c r="AD55" s="275"/>
      <c r="AE55" s="275"/>
      <c r="AF55" s="272"/>
      <c r="AG55" s="275"/>
      <c r="AH55" s="272"/>
      <c r="AI55" s="272"/>
      <c r="AJ55" s="275"/>
      <c r="AK55" s="275"/>
      <c r="AL55" s="275"/>
      <c r="AM55" s="275"/>
      <c r="AN55" s="274"/>
      <c r="AO55" s="275"/>
      <c r="AP55" s="274"/>
      <c r="AQ55" s="275"/>
      <c r="AR55" s="272"/>
      <c r="AS55" s="272"/>
      <c r="AT55" s="272"/>
      <c r="AU55" s="272"/>
      <c r="AV55" s="273"/>
      <c r="AW55" s="271"/>
      <c r="AX55" s="271"/>
      <c r="AY55" s="276"/>
      <c r="AZ55" s="331"/>
      <c r="BA55" s="275"/>
      <c r="BB55" s="275"/>
      <c r="BC55" s="276"/>
      <c r="BD55" s="274"/>
      <c r="BE55" s="275"/>
      <c r="BF55" s="274"/>
      <c r="BG55" s="275"/>
      <c r="BH55" s="272"/>
      <c r="BI55" s="272"/>
      <c r="BJ55" s="272"/>
      <c r="BK55" s="276"/>
      <c r="BL55" s="273"/>
      <c r="BM55" s="271"/>
      <c r="BN55" s="273"/>
      <c r="BO55" s="278"/>
    </row>
    <row r="56" spans="1:72" s="119" customFormat="1" ht="27" customHeight="1" x14ac:dyDescent="0.4">
      <c r="A56" s="266" t="s">
        <v>170</v>
      </c>
      <c r="B56" s="106" t="str">
        <f t="shared" si="183"/>
        <v>San Juan Capistrano</v>
      </c>
      <c r="C56" s="223">
        <v>1914002</v>
      </c>
      <c r="D56" s="107">
        <f>VLOOKUP(C56,WaterQuality, 2, FALSE)</f>
        <v>44440.396527777775</v>
      </c>
      <c r="E56" s="107" t="s">
        <v>171</v>
      </c>
      <c r="F56" s="108">
        <f>VLOOKUP($C56, WaterQuality, 119, FALSE)</f>
        <v>1.64</v>
      </c>
      <c r="G56" s="108">
        <f>VLOOKUP($C56, WaterQuality, 115, FALSE)</f>
        <v>5</v>
      </c>
      <c r="H56" s="109">
        <f>VLOOKUP($C56, WaterQuality, 117, FALSE)</f>
        <v>5279.4</v>
      </c>
      <c r="I56" s="110">
        <f>VLOOKUP($C56, WaterQuality, 116, FALSE)</f>
        <v>7.94</v>
      </c>
      <c r="J56" s="110">
        <f>VLOOKUP($C56, WaterQuality, 118, FALSE)</f>
        <v>22.02</v>
      </c>
      <c r="K56" s="109" t="str">
        <f>VLOOKUP($C56, WaterQuality, 112, FALSE)</f>
        <v>&gt;=1400</v>
      </c>
      <c r="L56" s="109">
        <f>VLOOKUP($C56,WaterQuality, 111, FALSE)</f>
        <v>3100</v>
      </c>
      <c r="M56" s="109" t="str">
        <f>VLOOKUP($C56,WaterQuality, 113, FALSE)</f>
        <v>&gt;=1860</v>
      </c>
      <c r="N56" s="109" t="str">
        <f>VLOOKUP($C56,WaterQuality, 114, FALSE)</f>
        <v>&gt;=9600</v>
      </c>
      <c r="O56" s="110" t="str">
        <f>VLOOKUP($C56,WaterQuality, 97, FALSE)</f>
        <v>&lt;0.1</v>
      </c>
      <c r="P56" s="108">
        <f>VLOOKUP($C56,WaterQuality, 99, FALSE)</f>
        <v>1.1000000000000001</v>
      </c>
      <c r="Q56" s="111">
        <f>VLOOKUP($C56,WaterQuality, 101, FALSE)</f>
        <v>0.35</v>
      </c>
      <c r="R56" s="110">
        <f>VLOOKUP($C56,WaterQuality, 100, FALSE)</f>
        <v>0.91</v>
      </c>
      <c r="S56" s="108">
        <f>VLOOKUP($C56,WaterQuality, 103, FALSE)</f>
        <v>1.4</v>
      </c>
      <c r="T56" s="109" t="str">
        <f>VLOOKUP($C56,WaterQuality, 108, FALSE)</f>
        <v>&lt;5.6</v>
      </c>
      <c r="U56" s="108">
        <f>VLOOKUP($C56,WaterQuality, 109, FALSE)</f>
        <v>1.9</v>
      </c>
      <c r="V56" s="110">
        <f>VLOOKUP($C56,WaterQuality, 102, FALSE)</f>
        <v>7.54</v>
      </c>
      <c r="W56" s="109">
        <f>VLOOKUP($C56,WaterQuality, 104, FALSE)</f>
        <v>6100</v>
      </c>
      <c r="X56" s="108">
        <f>VLOOKUP($C56,WaterQuality, 110, FALSE)</f>
        <v>1.2</v>
      </c>
      <c r="Y56" s="108" t="str">
        <f>VLOOKUP($C56,WaterQuality, 14, FALSE)</f>
        <v>&lt;2</v>
      </c>
      <c r="Z56" s="110" t="str">
        <f>VLOOKUP($C56,WaterQuality, 17, FALSE)</f>
        <v>&lt;2</v>
      </c>
      <c r="AA56" s="110" t="str">
        <f>VLOOKUP($C56,WaterQuality, 44, FALSE)</f>
        <v>&lt;2</v>
      </c>
      <c r="AB56" s="108" t="str">
        <f>VLOOKUP($C56,WaterQuality, 40, FALSE)</f>
        <v>&lt;1</v>
      </c>
      <c r="AC56" s="108" t="str">
        <f>VLOOKUP($C56,WaterQuality, 26, FALSE)</f>
        <v>&lt;5</v>
      </c>
      <c r="AD56" s="106">
        <f>VLOOKUP($C56,WaterQuality, 98, FALSE)</f>
        <v>470</v>
      </c>
      <c r="AE56" s="106">
        <f>VLOOKUP($C56,WaterQuality, 83, FALSE)</f>
        <v>15</v>
      </c>
      <c r="AF56" s="109">
        <f>VLOOKUP($C56,WaterQuality, 84, FALSE)</f>
        <v>1950</v>
      </c>
      <c r="AG56" s="106" t="str">
        <f>VLOOKUP($C56,WaterQuality, 89, FALSE)</f>
        <v>&lt;0.05</v>
      </c>
      <c r="AH56" s="109">
        <f>VLOOKUP($C56,WaterQuality, 105, FALSE)</f>
        <v>2400</v>
      </c>
      <c r="AI56" s="109">
        <f>VLOOKUP($C56,WaterQuality, 107, FALSE)</f>
        <v>4300</v>
      </c>
      <c r="AJ56" s="106">
        <f>VLOOKUP($C56,WaterQuality, 95, FALSE)</f>
        <v>15</v>
      </c>
      <c r="AK56" s="106" t="str">
        <f>VLOOKUP($C56,WaterQuality, 93, FALSE)</f>
        <v>&lt;0.2</v>
      </c>
      <c r="AL56" s="106">
        <f>VLOOKUP($C56,WaterQuality, 77, FALSE)</f>
        <v>1.6</v>
      </c>
      <c r="AM56" s="112">
        <f>VLOOKUP($C56,WaterQuality, 78, FALSE)</f>
        <v>4</v>
      </c>
      <c r="AN56" s="111">
        <f>VLOOKUP($C56,WaterQuality, 81, FALSE)</f>
        <v>0.25</v>
      </c>
      <c r="AO56" s="106" t="str">
        <f>VLOOKUP($C56,WaterQuality, 80, FALSE)</f>
        <v>&lt;0.02</v>
      </c>
      <c r="AP56" s="111" t="s">
        <v>122</v>
      </c>
      <c r="AQ56" s="106">
        <f>VLOOKUP($C56,WaterQuality, 82, FALSE)</f>
        <v>3.6</v>
      </c>
      <c r="AR56" s="109">
        <f>VLOOKUP($C56,WaterQuality, 85, FALSE)</f>
        <v>72</v>
      </c>
      <c r="AS56" s="109">
        <f>VLOOKUP($C56,WaterQuality, 88, FALSE)</f>
        <v>54</v>
      </c>
      <c r="AT56" s="109" t="str">
        <f>VLOOKUP($C56,WaterQuality, 90, FALSE)</f>
        <v>&lt;0.05</v>
      </c>
      <c r="AU56" s="109">
        <f>VLOOKUP($C56,WaterQuality, 91, FALSE)</f>
        <v>34</v>
      </c>
      <c r="AV56" s="110" t="str">
        <f>VLOOKUP($C56,WaterQuality, 86, FALSE)</f>
        <v>&lt;0.2</v>
      </c>
      <c r="AW56" s="108">
        <f>VLOOKUP($C56,WaterQuality, 92, FALSE)</f>
        <v>5.2</v>
      </c>
      <c r="AX56" s="108" t="str">
        <f>VLOOKUP($C56,WaterQuality, 94, FALSE)</f>
        <v>&lt;0.2</v>
      </c>
      <c r="AY56" s="231" t="str">
        <f>VLOOKUP($C56,WaterQuality, 96, FALSE)</f>
        <v>&lt;10</v>
      </c>
      <c r="AZ56" s="223">
        <v>1914007</v>
      </c>
      <c r="BA56" s="106" t="str">
        <f>VLOOKUP($AZ56,WaterQuality, 93, FALSE)</f>
        <v>&lt;0.2</v>
      </c>
      <c r="BB56" s="106">
        <f>VLOOKUP($AZ56,WaterQuality, 77, FALSE)</f>
        <v>1.7</v>
      </c>
      <c r="BC56" s="112">
        <f>VLOOKUP($AZ56,WaterQuality, 78, FALSE)</f>
        <v>1.6</v>
      </c>
      <c r="BD56" s="111">
        <f>VLOOKUP($AZ56,WaterQuality, 81, FALSE)</f>
        <v>0.2</v>
      </c>
      <c r="BE56" s="106" t="str">
        <f>VLOOKUP($AZ56,WaterQuality, 80, FALSE)</f>
        <v>&lt;0.02</v>
      </c>
      <c r="BF56" s="111" t="s">
        <v>271</v>
      </c>
      <c r="BG56" s="106">
        <f>VLOOKUP($AZ56,WaterQuality, 82, FALSE)</f>
        <v>2.8</v>
      </c>
      <c r="BH56" s="109" t="str">
        <f>VLOOKUP($AZ56,WaterQuality, 85, FALSE)</f>
        <v>&lt;20</v>
      </c>
      <c r="BI56" s="109">
        <f>VLOOKUP($AZ56,WaterQuality, 88, FALSE)</f>
        <v>41</v>
      </c>
      <c r="BJ56" s="109" t="str">
        <f>VLOOKUP($AZ56,WaterQuality, 90, FALSE)</f>
        <v>&lt;0.05</v>
      </c>
      <c r="BK56" s="231">
        <f>VLOOKUP($AZ56,WaterQuality, 91, FALSE)</f>
        <v>33</v>
      </c>
      <c r="BL56" s="110" t="str">
        <f>VLOOKUP($AZ56,WaterQuality, 86, FALSE)</f>
        <v>&lt;0.2</v>
      </c>
      <c r="BM56" s="108">
        <f>VLOOKUP($AZ56,WaterQuality, 92, FALSE)</f>
        <v>5.0999999999999996</v>
      </c>
      <c r="BN56" s="110" t="str">
        <f>VLOOKUP($AZ56,WaterQuality, 94, FALSE)</f>
        <v>&lt;0.2</v>
      </c>
      <c r="BO56" s="113" t="str">
        <f>VLOOKUP($AZ56,WaterQuality, 96, FALSE)</f>
        <v>&lt;10</v>
      </c>
    </row>
    <row r="57" spans="1:72" s="119" customFormat="1" ht="27" customHeight="1" x14ac:dyDescent="0.4">
      <c r="A57" s="266" t="s">
        <v>175</v>
      </c>
      <c r="B57" s="106" t="str">
        <f t="shared" si="183"/>
        <v>San Juan Capistrano</v>
      </c>
      <c r="C57" s="223">
        <v>1914005</v>
      </c>
      <c r="D57" s="107">
        <f>VLOOKUP(C57,WaterQuality, 2, FALSE)</f>
        <v>44440.463194444441</v>
      </c>
      <c r="E57" s="107"/>
      <c r="F57" s="108">
        <f>VLOOKUP($C57, WaterQuality, 119, FALSE)</f>
        <v>1.36</v>
      </c>
      <c r="G57" s="108">
        <f>VLOOKUP($C57, WaterQuality, 115, FALSE)</f>
        <v>9.44</v>
      </c>
      <c r="H57" s="109">
        <f>VLOOKUP($C57, WaterQuality, 117, FALSE)</f>
        <v>3221</v>
      </c>
      <c r="I57" s="110">
        <f>VLOOKUP($C57, WaterQuality, 116, FALSE)</f>
        <v>8.84</v>
      </c>
      <c r="J57" s="110">
        <f>VLOOKUP($C57, WaterQuality, 118, FALSE)</f>
        <v>22.7</v>
      </c>
      <c r="K57" s="109">
        <f>VLOOKUP($C57, WaterQuality, 112, FALSE)</f>
        <v>1160</v>
      </c>
      <c r="L57" s="109">
        <f>VLOOKUP($C57,WaterQuality, 111, FALSE)</f>
        <v>2200</v>
      </c>
      <c r="M57" s="109">
        <f>VLOOKUP($C57,WaterQuality, 113, FALSE)</f>
        <v>1470</v>
      </c>
      <c r="N57" s="109" t="str">
        <f>VLOOKUP($C57,WaterQuality, 114, FALSE)</f>
        <v>&gt;=4500</v>
      </c>
      <c r="O57" s="110" t="str">
        <f>VLOOKUP($C57,WaterQuality, 97, FALSE)</f>
        <v>&lt;0.1</v>
      </c>
      <c r="P57" s="108">
        <f>VLOOKUP($C57,WaterQuality, 99, FALSE)</f>
        <v>4.8</v>
      </c>
      <c r="Q57" s="111">
        <f>VLOOKUP($C57,WaterQuality, 101, FALSE)</f>
        <v>9.8000000000000004E-2</v>
      </c>
      <c r="R57" s="110">
        <f>VLOOKUP($C57,WaterQuality, 100, FALSE)</f>
        <v>0.22</v>
      </c>
      <c r="S57" s="110">
        <f>VLOOKUP($C57,WaterQuality, 103, FALSE)</f>
        <v>0.3</v>
      </c>
      <c r="T57" s="109" t="str">
        <f>VLOOKUP($C57,WaterQuality, 108, FALSE)</f>
        <v>&lt;5.6</v>
      </c>
      <c r="U57" s="108">
        <f>VLOOKUP($C57,WaterQuality, 109, FALSE)</f>
        <v>5.2</v>
      </c>
      <c r="V57" s="110">
        <f>VLOOKUP($C57,WaterQuality, 102, FALSE)</f>
        <v>8.4</v>
      </c>
      <c r="W57" s="109">
        <f>VLOOKUP($C57,WaterQuality, 104, FALSE)</f>
        <v>3700</v>
      </c>
      <c r="X57" s="110">
        <f>VLOOKUP($C57,WaterQuality, 110, FALSE)</f>
        <v>0.38</v>
      </c>
      <c r="Y57" s="108" t="str">
        <f>VLOOKUP($C57,WaterQuality, 14, FALSE)</f>
        <v>&lt;2</v>
      </c>
      <c r="Z57" s="110" t="str">
        <f>VLOOKUP($C57,WaterQuality, 17, FALSE)</f>
        <v>&lt;2</v>
      </c>
      <c r="AA57" s="110" t="str">
        <f>VLOOKUP($C57,WaterQuality, 44, FALSE)</f>
        <v>&lt;2</v>
      </c>
      <c r="AB57" s="108" t="str">
        <f>VLOOKUP($C57,WaterQuality, 40, FALSE)</f>
        <v>&lt;1</v>
      </c>
      <c r="AC57" s="108" t="str">
        <f>VLOOKUP($C57,WaterQuality, 26, FALSE)</f>
        <v>&lt;5</v>
      </c>
      <c r="AD57" s="106">
        <f>VLOOKUP($C57,WaterQuality, 98, FALSE)</f>
        <v>1000</v>
      </c>
      <c r="AE57" s="106">
        <f>VLOOKUP($C57,WaterQuality, 83, FALSE)</f>
        <v>3.9</v>
      </c>
      <c r="AF57" s="109">
        <f>VLOOKUP($C57,WaterQuality, 84, FALSE)</f>
        <v>642</v>
      </c>
      <c r="AG57" s="106" t="str">
        <f>VLOOKUP($C57,WaterQuality, 89, FALSE)</f>
        <v>&lt;0.05</v>
      </c>
      <c r="AH57" s="109">
        <f>VLOOKUP($C57,WaterQuality, 105, FALSE)</f>
        <v>1600</v>
      </c>
      <c r="AI57" s="109">
        <f>VLOOKUP($C57,WaterQuality, 107, FALSE)</f>
        <v>2000</v>
      </c>
      <c r="AJ57" s="106">
        <f>VLOOKUP($C57,WaterQuality, 95, FALSE)</f>
        <v>3.2</v>
      </c>
      <c r="AK57" s="106" t="str">
        <f>VLOOKUP($C57,WaterQuality, 93, FALSE)</f>
        <v>&lt;0.2</v>
      </c>
      <c r="AL57" s="106">
        <f>VLOOKUP($C57,WaterQuality, 77, FALSE)</f>
        <v>1.3</v>
      </c>
      <c r="AM57" s="106" t="str">
        <f>VLOOKUP($C57,WaterQuality, 78, FALSE)</f>
        <v>&lt;0.2</v>
      </c>
      <c r="AN57" s="111">
        <f>VLOOKUP($C57,WaterQuality, 81, FALSE)</f>
        <v>0.66</v>
      </c>
      <c r="AO57" s="106">
        <f>VLOOKUP($C57,WaterQuality, 80, FALSE)</f>
        <v>0.64</v>
      </c>
      <c r="AP57" s="111">
        <f t="shared" si="61"/>
        <v>2.0000000000000018E-2</v>
      </c>
      <c r="AQ57" s="106">
        <f>VLOOKUP($C57,WaterQuality, 82, FALSE)</f>
        <v>2.5</v>
      </c>
      <c r="AR57" s="109">
        <f>VLOOKUP($C57,WaterQuality, 85, FALSE)</f>
        <v>31</v>
      </c>
      <c r="AS57" s="109" t="str">
        <f>VLOOKUP($C57,WaterQuality, 88, FALSE)</f>
        <v>&lt;1</v>
      </c>
      <c r="AT57" s="109" t="str">
        <f>VLOOKUP($C57,WaterQuality, 90, FALSE)</f>
        <v>&lt;0.05</v>
      </c>
      <c r="AU57" s="108" t="str">
        <f>VLOOKUP($C57,WaterQuality, 91, FALSE)</f>
        <v>&lt;2</v>
      </c>
      <c r="AV57" s="110" t="str">
        <f>VLOOKUP($C57,WaterQuality, 86, FALSE)</f>
        <v>&lt;0.2</v>
      </c>
      <c r="AW57" s="108">
        <f>VLOOKUP($C57,WaterQuality, 92, FALSE)</f>
        <v>4.5</v>
      </c>
      <c r="AX57" s="108" t="str">
        <f>VLOOKUP($C57,WaterQuality, 94, FALSE)</f>
        <v>&lt;0.2</v>
      </c>
      <c r="AY57" s="231" t="str">
        <f>VLOOKUP($C57,WaterQuality, 96, FALSE)</f>
        <v>&lt;10</v>
      </c>
      <c r="AZ57" s="223">
        <v>1914010</v>
      </c>
      <c r="BA57" s="106" t="str">
        <f>VLOOKUP($AZ57,WaterQuality, 93, FALSE)</f>
        <v>&lt;0.2</v>
      </c>
      <c r="BB57" s="106">
        <f>VLOOKUP($AZ57,WaterQuality, 77, FALSE)</f>
        <v>1.2</v>
      </c>
      <c r="BC57" s="111" t="str">
        <f>VLOOKUP($AZ57,WaterQuality, 78, FALSE)</f>
        <v>&lt;0.2</v>
      </c>
      <c r="BD57" s="111">
        <f>VLOOKUP($AZ57,WaterQuality, 81, FALSE)</f>
        <v>0.63</v>
      </c>
      <c r="BE57" s="106">
        <f>VLOOKUP($AZ57,WaterQuality, 80, FALSE)</f>
        <v>0.68</v>
      </c>
      <c r="BF57" s="330">
        <f t="shared" si="62"/>
        <v>-5.0000000000000044E-2</v>
      </c>
      <c r="BG57" s="106">
        <f>VLOOKUP($AZ57,WaterQuality, 82, FALSE)</f>
        <v>2.2000000000000002</v>
      </c>
      <c r="BH57" s="109" t="str">
        <f>VLOOKUP($AZ57,WaterQuality, 85, FALSE)</f>
        <v>&lt;20</v>
      </c>
      <c r="BI57" s="109" t="str">
        <f>VLOOKUP($AZ57,WaterQuality, 88, FALSE)</f>
        <v>&lt;1</v>
      </c>
      <c r="BJ57" s="109" t="str">
        <f>VLOOKUP($AZ57,WaterQuality, 90, FALSE)</f>
        <v>&lt;0.05</v>
      </c>
      <c r="BK57" s="112" t="str">
        <f>VLOOKUP($AZ57,WaterQuality, 91, FALSE)</f>
        <v>&lt;2</v>
      </c>
      <c r="BL57" s="110" t="str">
        <f>VLOOKUP($AZ57,WaterQuality, 86, FALSE)</f>
        <v>&lt;0.2</v>
      </c>
      <c r="BM57" s="108">
        <f>VLOOKUP($AZ57,WaterQuality, 92, FALSE)</f>
        <v>4.4000000000000004</v>
      </c>
      <c r="BN57" s="110" t="str">
        <f>VLOOKUP($AZ57,WaterQuality, 94, FALSE)</f>
        <v>&lt;0.2</v>
      </c>
      <c r="BO57" s="113" t="str">
        <f>VLOOKUP($AZ57,WaterQuality, 96, FALSE)</f>
        <v>&lt;10</v>
      </c>
    </row>
    <row r="58" spans="1:72" s="119" customFormat="1" ht="27" customHeight="1" thickBot="1" x14ac:dyDescent="0.45">
      <c r="A58" s="337" t="s">
        <v>173</v>
      </c>
      <c r="B58" s="130" t="str">
        <f t="shared" si="183"/>
        <v>San Juan Capistrano</v>
      </c>
      <c r="C58" s="338">
        <v>1914001</v>
      </c>
      <c r="D58" s="219">
        <f>VLOOKUP(C58,WaterQuality, 2, FALSE)</f>
        <v>44440.501388888886</v>
      </c>
      <c r="E58" s="219"/>
      <c r="F58" s="126">
        <f>VLOOKUP($C58, WaterQuality, 119, FALSE)</f>
        <v>4.12</v>
      </c>
      <c r="G58" s="126">
        <f>VLOOKUP($C58, WaterQuality, 115, FALSE)</f>
        <v>8.5299999999999994</v>
      </c>
      <c r="H58" s="127">
        <f>VLOOKUP($C58, WaterQuality, 117, FALSE)</f>
        <v>1099</v>
      </c>
      <c r="I58" s="128">
        <f>VLOOKUP($C58, WaterQuality, 116, FALSE)</f>
        <v>8.2100000000000009</v>
      </c>
      <c r="J58" s="128">
        <f>VLOOKUP($C58, WaterQuality, 118, FALSE)</f>
        <v>22.58</v>
      </c>
      <c r="K58" s="127" t="str">
        <f>VLOOKUP($C58, WaterQuality, 112, FALSE)</f>
        <v>&gt;=130</v>
      </c>
      <c r="L58" s="127">
        <f>VLOOKUP($C58,WaterQuality, 111, FALSE)</f>
        <v>8800</v>
      </c>
      <c r="M58" s="127">
        <f>VLOOKUP($C58,WaterQuality, 113, FALSE)</f>
        <v>4200</v>
      </c>
      <c r="N58" s="127" t="str">
        <f>VLOOKUP($C58,WaterQuality, 114, FALSE)</f>
        <v>&gt;=41000</v>
      </c>
      <c r="O58" s="128">
        <f>VLOOKUP($C58,WaterQuality, 97, FALSE)</f>
        <v>0.12</v>
      </c>
      <c r="P58" s="126">
        <f>VLOOKUP($C58,WaterQuality, 99, FALSE)</f>
        <v>0.74</v>
      </c>
      <c r="Q58" s="129">
        <f>VLOOKUP($C58,WaterQuality, 101, FALSE)</f>
        <v>0.43</v>
      </c>
      <c r="R58" s="126">
        <f>VLOOKUP($C58,WaterQuality, 100, FALSE)</f>
        <v>1</v>
      </c>
      <c r="S58" s="126">
        <f>VLOOKUP($C58,WaterQuality, 103, FALSE)</f>
        <v>1.6</v>
      </c>
      <c r="T58" s="127" t="str">
        <f>VLOOKUP($C58,WaterQuality, 108, FALSE)</f>
        <v>&lt;5.6</v>
      </c>
      <c r="U58" s="126">
        <f>VLOOKUP($C58,WaterQuality, 109, FALSE)</f>
        <v>1.1000000000000001</v>
      </c>
      <c r="V58" s="128">
        <f>VLOOKUP($C58,WaterQuality, 102, FALSE)</f>
        <v>8.06</v>
      </c>
      <c r="W58" s="127">
        <f>VLOOKUP($C58,WaterQuality, 104, FALSE)</f>
        <v>1300</v>
      </c>
      <c r="X58" s="126">
        <f>VLOOKUP($C58,WaterQuality, 110, FALSE)</f>
        <v>1.8</v>
      </c>
      <c r="Y58" s="126" t="str">
        <f>VLOOKUP($C58,WaterQuality, 14, FALSE)</f>
        <v>&lt;2</v>
      </c>
      <c r="Z58" s="128" t="str">
        <f>VLOOKUP($C58,WaterQuality, 17, FALSE)</f>
        <v>&lt;2</v>
      </c>
      <c r="AA58" s="128" t="str">
        <f>VLOOKUP($C58,WaterQuality, 44, FALSE)</f>
        <v>&lt;2</v>
      </c>
      <c r="AB58" s="126" t="str">
        <f>VLOOKUP($C58,WaterQuality, 40, FALSE)</f>
        <v>&lt;1</v>
      </c>
      <c r="AC58" s="126" t="str">
        <f>VLOOKUP($C58,WaterQuality, 26, FALSE)</f>
        <v>&lt;5</v>
      </c>
      <c r="AD58" s="130">
        <f>VLOOKUP($C58,WaterQuality, 98, FALSE)</f>
        <v>140</v>
      </c>
      <c r="AE58" s="130">
        <f>VLOOKUP($C58,WaterQuality, 83, FALSE)</f>
        <v>7.9</v>
      </c>
      <c r="AF58" s="127">
        <f>VLOOKUP($C58,WaterQuality, 84, FALSE)</f>
        <v>315</v>
      </c>
      <c r="AG58" s="130">
        <f>VLOOKUP($C58,WaterQuality, 89, FALSE)</f>
        <v>0.14000000000000001</v>
      </c>
      <c r="AH58" s="127">
        <f>VLOOKUP($C58,WaterQuality, 105, FALSE)</f>
        <v>230</v>
      </c>
      <c r="AI58" s="127">
        <f>VLOOKUP($C58,WaterQuality, 107, FALSE)</f>
        <v>660</v>
      </c>
      <c r="AJ58" s="130">
        <f>VLOOKUP($C58,WaterQuality, 95, FALSE)</f>
        <v>6.8</v>
      </c>
      <c r="AK58" s="130" t="str">
        <f>VLOOKUP($C58,WaterQuality, 93, FALSE)</f>
        <v>&lt;0.2</v>
      </c>
      <c r="AL58" s="130">
        <f>VLOOKUP($C58,WaterQuality, 77, FALSE)</f>
        <v>2.8</v>
      </c>
      <c r="AM58" s="130" t="str">
        <f>VLOOKUP($C58,WaterQuality, 78, FALSE)</f>
        <v>&lt;0.2</v>
      </c>
      <c r="AN58" s="129" t="str">
        <f>VLOOKUP($C58,WaterQuality, 81, FALSE)</f>
        <v>&lt;0.2</v>
      </c>
      <c r="AO58" s="130" t="str">
        <f>VLOOKUP($C58,WaterQuality, 80, FALSE)</f>
        <v>&lt;0.02</v>
      </c>
      <c r="AP58" s="129" t="s">
        <v>254</v>
      </c>
      <c r="AQ58" s="130">
        <f>VLOOKUP($C58,WaterQuality, 82, FALSE)</f>
        <v>4.2</v>
      </c>
      <c r="AR58" s="127">
        <f>VLOOKUP($C58,WaterQuality, 85, FALSE)</f>
        <v>93</v>
      </c>
      <c r="AS58" s="127">
        <f>VLOOKUP($C58,WaterQuality, 88, FALSE)</f>
        <v>23</v>
      </c>
      <c r="AT58" s="127" t="str">
        <f>VLOOKUP($C58,WaterQuality, 90, FALSE)</f>
        <v>&lt;0.05</v>
      </c>
      <c r="AU58" s="126" t="str">
        <f>VLOOKUP($C58,WaterQuality, 91, FALSE)</f>
        <v>&lt;2</v>
      </c>
      <c r="AV58" s="128">
        <f>VLOOKUP($C58,WaterQuality, 86, FALSE)</f>
        <v>0.23</v>
      </c>
      <c r="AW58" s="128">
        <f>VLOOKUP($C58,WaterQuality, 92, FALSE)</f>
        <v>0.8</v>
      </c>
      <c r="AX58" s="126" t="str">
        <f>VLOOKUP($C58,WaterQuality, 94, FALSE)</f>
        <v>&lt;0.2</v>
      </c>
      <c r="AY58" s="339">
        <f>VLOOKUP($C58,WaterQuality, 96, FALSE)</f>
        <v>11</v>
      </c>
      <c r="AZ58" s="338">
        <v>1914006</v>
      </c>
      <c r="BA58" s="130" t="str">
        <f>VLOOKUP($AZ58,WaterQuality, 93, FALSE)</f>
        <v>&lt;0.2</v>
      </c>
      <c r="BB58" s="130">
        <f>VLOOKUP($AZ58,WaterQuality, 77, FALSE)</f>
        <v>2.7</v>
      </c>
      <c r="BC58" s="129" t="str">
        <f>VLOOKUP($AZ58,WaterQuality, 78, FALSE)</f>
        <v>&lt;0.2</v>
      </c>
      <c r="BD58" s="129" t="str">
        <f>VLOOKUP($AZ58,WaterQuality, 81, FALSE)</f>
        <v>&lt;0.2</v>
      </c>
      <c r="BE58" s="130" t="str">
        <f>VLOOKUP($AZ58,WaterQuality, 80, FALSE)</f>
        <v>&lt;0.02</v>
      </c>
      <c r="BF58" s="129" t="s">
        <v>254</v>
      </c>
      <c r="BG58" s="130">
        <f>VLOOKUP($AZ58,WaterQuality, 82, FALSE)</f>
        <v>2.6</v>
      </c>
      <c r="BH58" s="127">
        <f>VLOOKUP($AZ58,WaterQuality, 85, FALSE)</f>
        <v>42</v>
      </c>
      <c r="BI58" s="127">
        <f>VLOOKUP($AZ58,WaterQuality, 88, FALSE)</f>
        <v>22</v>
      </c>
      <c r="BJ58" s="127" t="str">
        <f>VLOOKUP($AZ58,WaterQuality, 90, FALSE)</f>
        <v>&lt;0.05</v>
      </c>
      <c r="BK58" s="220" t="str">
        <f>VLOOKUP($AZ58,WaterQuality, 91, FALSE)</f>
        <v>&lt;2</v>
      </c>
      <c r="BL58" s="128" t="str">
        <f>VLOOKUP($AZ58,WaterQuality, 86, FALSE)</f>
        <v>&lt;0.2</v>
      </c>
      <c r="BM58" s="128">
        <f>VLOOKUP($AZ58,WaterQuality, 92, FALSE)</f>
        <v>0.86</v>
      </c>
      <c r="BN58" s="128" t="str">
        <f>VLOOKUP($AZ58,WaterQuality, 94, FALSE)</f>
        <v>&lt;0.2</v>
      </c>
      <c r="BO58" s="131" t="str">
        <f>VLOOKUP($AZ58,WaterQuality, 96, FALSE)</f>
        <v>&lt;10</v>
      </c>
    </row>
    <row r="59" spans="1:72" s="122" customFormat="1" ht="24.95" customHeight="1" x14ac:dyDescent="0.4">
      <c r="A59" s="132"/>
      <c r="B59" s="133"/>
      <c r="C59" s="133"/>
      <c r="D59" s="134"/>
      <c r="E59" s="134"/>
      <c r="F59" s="133"/>
      <c r="G59" s="135"/>
      <c r="H59" s="135"/>
      <c r="I59" s="135"/>
      <c r="J59" s="135"/>
      <c r="K59" s="136"/>
      <c r="L59" s="136"/>
      <c r="M59" s="136"/>
      <c r="N59" s="136"/>
      <c r="O59" s="137"/>
      <c r="P59" s="137"/>
      <c r="Q59" s="138"/>
      <c r="R59" s="137"/>
      <c r="S59" s="137"/>
      <c r="T59" s="137"/>
      <c r="U59" s="137"/>
      <c r="V59" s="138"/>
      <c r="W59" s="136"/>
      <c r="X59" s="137"/>
      <c r="Y59" s="137"/>
      <c r="Z59" s="138"/>
      <c r="AA59" s="138"/>
      <c r="AB59" s="137"/>
      <c r="AC59" s="137"/>
      <c r="AD59" s="133"/>
      <c r="AE59" s="133"/>
      <c r="AF59" s="136"/>
      <c r="AG59" s="133"/>
      <c r="AH59" s="136"/>
      <c r="AI59" s="136"/>
      <c r="AJ59" s="133"/>
      <c r="AK59" s="133"/>
      <c r="AL59" s="133"/>
      <c r="AM59" s="133"/>
      <c r="AN59" s="133"/>
      <c r="AO59" s="133"/>
      <c r="AP59" s="133"/>
      <c r="AQ59" s="133"/>
      <c r="AR59" s="136"/>
      <c r="AS59" s="136"/>
      <c r="AT59" s="136"/>
      <c r="AU59" s="136"/>
      <c r="AV59" s="137"/>
      <c r="AW59" s="137"/>
      <c r="AX59" s="138"/>
      <c r="AY59" s="228"/>
      <c r="AZ59" s="321"/>
      <c r="BA59" s="133"/>
      <c r="BB59" s="133"/>
      <c r="BC59" s="133"/>
      <c r="BD59" s="133"/>
      <c r="BE59" s="133"/>
      <c r="BF59" s="133"/>
      <c r="BG59" s="133"/>
      <c r="BH59" s="136"/>
      <c r="BI59" s="136"/>
      <c r="BJ59" s="136"/>
      <c r="BK59" s="136"/>
      <c r="BL59" s="137"/>
      <c r="BM59" s="137"/>
      <c r="BN59" s="138"/>
      <c r="BO59" s="136"/>
      <c r="BP59" s="123"/>
      <c r="BQ59" s="123"/>
      <c r="BR59" s="123"/>
      <c r="BS59" s="123"/>
      <c r="BT59" s="123"/>
    </row>
    <row r="60" spans="1:72" ht="24.95" customHeight="1" x14ac:dyDescent="0.4">
      <c r="A60" s="401" t="s">
        <v>176</v>
      </c>
      <c r="B60" s="402"/>
      <c r="C60" s="402"/>
      <c r="D60" s="402"/>
      <c r="E60" s="361"/>
      <c r="F60" s="139"/>
      <c r="G60" s="140"/>
      <c r="H60" s="141"/>
      <c r="I60" s="142"/>
      <c r="J60" s="133"/>
      <c r="K60" s="143"/>
      <c r="L60" s="143"/>
      <c r="M60" s="144"/>
      <c r="N60" s="145"/>
      <c r="O60" s="145"/>
      <c r="P60" s="145"/>
      <c r="Q60" s="145"/>
      <c r="R60" s="145"/>
      <c r="S60" s="145"/>
      <c r="T60" s="145"/>
      <c r="U60" s="145"/>
      <c r="V60" s="145"/>
      <c r="W60" s="145"/>
      <c r="X60" s="145"/>
      <c r="Y60" s="145"/>
      <c r="Z60" s="145"/>
      <c r="AA60" s="145"/>
      <c r="AB60" s="145"/>
      <c r="AC60" s="145"/>
      <c r="AD60" s="145"/>
      <c r="AE60" s="145"/>
      <c r="AF60" s="233"/>
      <c r="AG60" s="145"/>
      <c r="AH60" s="145"/>
      <c r="AI60" s="145"/>
      <c r="AJ60" s="145"/>
      <c r="AK60" s="145"/>
      <c r="AL60" s="145"/>
      <c r="AM60" s="145"/>
      <c r="AN60" s="145"/>
      <c r="AO60" s="145"/>
      <c r="AP60" s="145"/>
      <c r="AQ60" s="145"/>
      <c r="AR60" s="145"/>
      <c r="AS60" s="145"/>
      <c r="AT60" s="145"/>
      <c r="AU60" s="145"/>
      <c r="AV60" s="145"/>
      <c r="AW60" s="145"/>
      <c r="AX60" s="145"/>
      <c r="AY60" s="229"/>
      <c r="AZ60" s="322"/>
      <c r="BA60" s="145"/>
      <c r="BB60" s="145"/>
      <c r="BC60" s="145"/>
      <c r="BD60" s="145"/>
      <c r="BE60" s="145"/>
      <c r="BF60" s="145"/>
      <c r="BG60" s="145"/>
      <c r="BH60" s="145"/>
      <c r="BI60" s="145"/>
      <c r="BJ60" s="145"/>
      <c r="BK60" s="145"/>
      <c r="BL60" s="145"/>
      <c r="BM60" s="145"/>
      <c r="BN60" s="145"/>
      <c r="BO60" s="145"/>
    </row>
    <row r="61" spans="1:72" ht="24.95" customHeight="1" x14ac:dyDescent="0.4">
      <c r="A61" s="141" t="s">
        <v>67</v>
      </c>
      <c r="B61" s="146" t="s">
        <v>177</v>
      </c>
      <c r="C61" s="146"/>
      <c r="D61" s="134"/>
      <c r="E61" s="134"/>
      <c r="F61" s="139"/>
      <c r="G61" s="140"/>
      <c r="H61" s="141"/>
      <c r="I61" s="142"/>
      <c r="J61" s="133"/>
      <c r="K61" s="143"/>
      <c r="L61" s="143"/>
      <c r="M61" s="144"/>
      <c r="N61" s="145"/>
      <c r="O61" s="145"/>
      <c r="P61" s="145"/>
      <c r="Q61" s="145"/>
      <c r="R61" s="145"/>
      <c r="S61" s="145"/>
      <c r="T61" s="145"/>
      <c r="U61" s="145"/>
      <c r="V61" s="145"/>
      <c r="W61" s="145"/>
      <c r="X61" s="145"/>
      <c r="Y61" s="145"/>
      <c r="Z61" s="145"/>
      <c r="AA61" s="145"/>
      <c r="AB61" s="145"/>
      <c r="AC61" s="145"/>
      <c r="AD61" s="145"/>
      <c r="AE61" s="145"/>
      <c r="AF61" s="233"/>
      <c r="AG61" s="145"/>
      <c r="AH61" s="145"/>
      <c r="AI61" s="145"/>
      <c r="AJ61" s="145"/>
      <c r="AK61" s="145"/>
      <c r="AL61" s="145"/>
      <c r="AM61" s="145"/>
      <c r="AN61" s="145"/>
      <c r="AO61" s="145"/>
      <c r="AP61" s="145"/>
      <c r="AQ61" s="145"/>
      <c r="AR61" s="145"/>
      <c r="AS61" s="145"/>
      <c r="AT61" s="145"/>
      <c r="AU61" s="145"/>
      <c r="AV61" s="145"/>
      <c r="AW61" s="145"/>
      <c r="AX61" s="145"/>
      <c r="AY61" s="229"/>
      <c r="AZ61" s="322"/>
      <c r="BA61" s="145"/>
      <c r="BB61" s="145"/>
      <c r="BC61" s="145"/>
      <c r="BD61" s="145"/>
      <c r="BE61" s="145"/>
      <c r="BF61" s="145"/>
      <c r="BG61" s="145"/>
      <c r="BH61" s="145"/>
      <c r="BI61" s="145"/>
      <c r="BJ61" s="145"/>
      <c r="BK61" s="145"/>
      <c r="BL61" s="145"/>
      <c r="BM61" s="145"/>
      <c r="BN61" s="145"/>
      <c r="BO61" s="145"/>
    </row>
    <row r="62" spans="1:72" ht="24.95" customHeight="1" x14ac:dyDescent="0.4">
      <c r="A62" s="141" t="s">
        <v>68</v>
      </c>
      <c r="B62" s="146" t="s">
        <v>178</v>
      </c>
      <c r="C62" s="146"/>
      <c r="D62" s="134"/>
      <c r="E62" s="134"/>
      <c r="F62" s="139"/>
      <c r="G62" s="140"/>
      <c r="H62" s="147"/>
      <c r="I62" s="142"/>
      <c r="J62" s="133"/>
      <c r="K62" s="143"/>
      <c r="L62" s="143"/>
      <c r="M62" s="144"/>
      <c r="N62" s="145"/>
      <c r="O62" s="145"/>
      <c r="P62" s="145"/>
      <c r="Q62" s="145"/>
      <c r="R62" s="145"/>
      <c r="S62" s="145"/>
      <c r="T62" s="145"/>
      <c r="U62" s="145"/>
      <c r="V62" s="145"/>
      <c r="W62" s="145"/>
      <c r="X62" s="145"/>
      <c r="Y62" s="145"/>
      <c r="Z62" s="145"/>
      <c r="AA62" s="145"/>
      <c r="AB62" s="145"/>
      <c r="AC62" s="145"/>
      <c r="AD62" s="145"/>
      <c r="AE62" s="145"/>
      <c r="AF62" s="233"/>
      <c r="AG62" s="145"/>
      <c r="AH62" s="145"/>
      <c r="AI62" s="145"/>
      <c r="AJ62" s="145"/>
      <c r="AK62" s="145"/>
      <c r="AL62" s="145"/>
      <c r="AM62" s="145"/>
      <c r="AN62" s="145"/>
      <c r="AO62" s="145"/>
      <c r="AP62" s="145"/>
      <c r="AQ62" s="145"/>
      <c r="AR62" s="145"/>
      <c r="AS62" s="145"/>
      <c r="AT62" s="145"/>
      <c r="AU62" s="145"/>
      <c r="AV62" s="145"/>
      <c r="AW62" s="145"/>
      <c r="AX62" s="145"/>
      <c r="AY62" s="229"/>
      <c r="AZ62" s="322"/>
      <c r="BA62" s="145"/>
      <c r="BB62" s="145"/>
      <c r="BC62" s="145"/>
      <c r="BD62" s="145"/>
      <c r="BE62" s="145"/>
      <c r="BF62" s="145"/>
      <c r="BG62" s="145"/>
      <c r="BH62" s="145"/>
      <c r="BI62" s="145"/>
      <c r="BJ62" s="145"/>
      <c r="BK62" s="145"/>
      <c r="BL62" s="145"/>
      <c r="BM62" s="145"/>
      <c r="BN62" s="145"/>
      <c r="BO62" s="145"/>
    </row>
    <row r="63" spans="1:72" ht="24.95" customHeight="1" x14ac:dyDescent="0.4">
      <c r="A63" s="147" t="s">
        <v>135</v>
      </c>
      <c r="B63" s="146" t="s">
        <v>179</v>
      </c>
      <c r="C63" s="146"/>
      <c r="D63" s="146"/>
      <c r="E63" s="134"/>
      <c r="F63" s="139"/>
      <c r="G63" s="140"/>
      <c r="H63" s="144"/>
      <c r="I63" s="144"/>
      <c r="J63" s="144"/>
      <c r="K63" s="144"/>
      <c r="L63" s="144"/>
      <c r="M63" s="144"/>
      <c r="N63" s="145"/>
      <c r="O63" s="145"/>
      <c r="P63" s="145"/>
      <c r="Q63" s="145"/>
      <c r="R63" s="145"/>
      <c r="S63" s="145"/>
      <c r="T63" s="145"/>
      <c r="U63" s="145"/>
      <c r="V63" s="145"/>
      <c r="W63" s="145"/>
      <c r="X63" s="148"/>
      <c r="Y63" s="145"/>
      <c r="Z63" s="145"/>
      <c r="AA63" s="145"/>
      <c r="AB63" s="145"/>
      <c r="AC63" s="145"/>
      <c r="AD63" s="145"/>
      <c r="AE63" s="145"/>
      <c r="AF63" s="233"/>
      <c r="AG63" s="145"/>
      <c r="AH63" s="145"/>
      <c r="AI63" s="145"/>
      <c r="AJ63" s="145"/>
      <c r="AK63" s="145"/>
      <c r="AL63" s="145"/>
      <c r="AM63" s="145"/>
      <c r="AN63" s="145"/>
      <c r="AO63" s="145"/>
      <c r="AP63" s="145"/>
      <c r="AQ63" s="145"/>
      <c r="AR63" s="145"/>
      <c r="AS63" s="145"/>
      <c r="AT63" s="145"/>
      <c r="AU63" s="145"/>
      <c r="AV63" s="145"/>
      <c r="AW63" s="145"/>
      <c r="AX63" s="145"/>
      <c r="AY63" s="229"/>
      <c r="AZ63" s="322"/>
      <c r="BA63" s="145"/>
      <c r="BB63" s="145"/>
      <c r="BC63" s="145"/>
      <c r="BD63" s="145"/>
      <c r="BE63" s="145"/>
      <c r="BF63" s="145"/>
      <c r="BG63" s="145"/>
      <c r="BH63" s="145"/>
      <c r="BI63" s="145"/>
      <c r="BJ63" s="145"/>
      <c r="BK63" s="145"/>
      <c r="BL63" s="145"/>
      <c r="BM63" s="145"/>
      <c r="BN63" s="145"/>
      <c r="BO63" s="145"/>
    </row>
    <row r="64" spans="1:72" ht="24.95" customHeight="1" x14ac:dyDescent="0.4">
      <c r="A64" s="147" t="s">
        <v>143</v>
      </c>
      <c r="B64" s="146" t="s">
        <v>180</v>
      </c>
      <c r="C64" s="146"/>
      <c r="D64" s="134"/>
      <c r="E64" s="134"/>
      <c r="F64" s="139"/>
      <c r="G64" s="140"/>
      <c r="H64" s="144"/>
      <c r="I64" s="144"/>
      <c r="J64" s="144"/>
      <c r="K64" s="144"/>
      <c r="L64" s="144"/>
      <c r="M64" s="144"/>
      <c r="N64" s="145"/>
      <c r="O64" s="145"/>
      <c r="P64" s="145"/>
      <c r="Q64" s="145"/>
      <c r="R64" s="145"/>
      <c r="S64" s="145"/>
      <c r="T64" s="145"/>
      <c r="U64" s="145"/>
      <c r="V64" s="145"/>
      <c r="W64" s="145"/>
      <c r="X64" s="148"/>
      <c r="Y64" s="145"/>
      <c r="Z64" s="145"/>
      <c r="AA64" s="145"/>
      <c r="AB64" s="145"/>
      <c r="AC64" s="145"/>
      <c r="AD64" s="145"/>
      <c r="AE64" s="145"/>
      <c r="AF64" s="233"/>
      <c r="AG64" s="145"/>
      <c r="AH64" s="145"/>
      <c r="AI64" s="145"/>
      <c r="AJ64" s="145"/>
      <c r="AK64" s="145"/>
      <c r="AL64" s="145"/>
      <c r="AM64" s="145"/>
      <c r="AN64" s="145"/>
      <c r="AO64" s="145"/>
      <c r="AP64" s="145"/>
      <c r="AQ64" s="145"/>
      <c r="AR64" s="145"/>
      <c r="AS64" s="145"/>
      <c r="AT64" s="145"/>
      <c r="AU64" s="145"/>
      <c r="AV64" s="145"/>
      <c r="AW64" s="145"/>
      <c r="AX64" s="145"/>
      <c r="AY64" s="229"/>
      <c r="AZ64" s="322"/>
      <c r="BA64" s="145"/>
      <c r="BB64" s="145"/>
      <c r="BC64" s="145"/>
      <c r="BD64" s="145"/>
      <c r="BE64" s="145"/>
      <c r="BF64" s="145"/>
      <c r="BG64" s="145"/>
      <c r="BH64" s="145"/>
      <c r="BI64" s="145"/>
      <c r="BJ64" s="145"/>
      <c r="BK64" s="145"/>
      <c r="BL64" s="145"/>
      <c r="BM64" s="145"/>
      <c r="BN64" s="145"/>
      <c r="BO64" s="145"/>
    </row>
    <row r="65" spans="1:67" ht="24.95" customHeight="1" x14ac:dyDescent="0.4">
      <c r="A65" s="147" t="s">
        <v>181</v>
      </c>
      <c r="B65" s="146" t="s">
        <v>182</v>
      </c>
      <c r="C65" s="146"/>
      <c r="D65" s="134"/>
      <c r="E65" s="134"/>
      <c r="F65" s="139"/>
      <c r="G65" s="140"/>
      <c r="H65" s="144"/>
      <c r="I65" s="144"/>
      <c r="J65" s="144"/>
      <c r="K65" s="144"/>
      <c r="L65" s="144"/>
      <c r="M65" s="144"/>
      <c r="N65" s="145"/>
      <c r="O65" s="145"/>
      <c r="P65" s="145"/>
      <c r="Q65" s="145"/>
      <c r="R65" s="145"/>
      <c r="S65" s="145"/>
      <c r="T65" s="145"/>
      <c r="U65" s="145"/>
      <c r="V65" s="145"/>
      <c r="W65" s="145"/>
      <c r="X65" s="148"/>
      <c r="Y65" s="145"/>
      <c r="Z65" s="145"/>
      <c r="AA65" s="145"/>
      <c r="AB65" s="145"/>
      <c r="AC65" s="145"/>
      <c r="AD65" s="145"/>
      <c r="AE65" s="145"/>
      <c r="AF65" s="233"/>
      <c r="AG65" s="145"/>
      <c r="AH65" s="145"/>
      <c r="AI65" s="145"/>
      <c r="AJ65" s="145"/>
      <c r="AK65" s="145"/>
      <c r="AL65" s="145"/>
      <c r="AM65" s="145"/>
      <c r="AN65" s="145"/>
      <c r="AO65" s="145"/>
      <c r="AP65" s="145"/>
      <c r="AQ65" s="145"/>
      <c r="AR65" s="145"/>
      <c r="AS65" s="145"/>
      <c r="AT65" s="145"/>
      <c r="AU65" s="145"/>
      <c r="AV65" s="145"/>
      <c r="AW65" s="145"/>
      <c r="AX65" s="145"/>
      <c r="AY65" s="229"/>
      <c r="AZ65" s="322"/>
      <c r="BA65" s="145"/>
      <c r="BB65" s="145"/>
      <c r="BC65" s="145"/>
      <c r="BD65" s="145"/>
      <c r="BE65" s="145"/>
      <c r="BF65" s="145"/>
      <c r="BG65" s="145"/>
      <c r="BH65" s="145"/>
      <c r="BI65" s="145"/>
      <c r="BJ65" s="145"/>
      <c r="BK65" s="145"/>
      <c r="BL65" s="145"/>
      <c r="BM65" s="145"/>
      <c r="BN65" s="145"/>
      <c r="BO65" s="145"/>
    </row>
    <row r="66" spans="1:67" ht="24.95" customHeight="1" x14ac:dyDescent="0.4">
      <c r="A66" s="147" t="s">
        <v>169</v>
      </c>
      <c r="B66" s="146" t="s">
        <v>183</v>
      </c>
      <c r="C66" s="146"/>
      <c r="D66" s="134"/>
      <c r="E66" s="134"/>
      <c r="F66" s="139"/>
      <c r="G66" s="140"/>
      <c r="H66" s="144"/>
      <c r="I66" s="144"/>
      <c r="J66" s="144"/>
      <c r="K66" s="144"/>
      <c r="L66" s="144"/>
      <c r="M66" s="144"/>
      <c r="N66" s="145"/>
      <c r="O66" s="145"/>
      <c r="P66" s="145"/>
      <c r="Q66" s="145"/>
      <c r="R66" s="145"/>
      <c r="S66" s="145"/>
      <c r="T66" s="145"/>
      <c r="U66" s="145"/>
      <c r="V66" s="145"/>
      <c r="W66" s="145"/>
      <c r="X66" s="148"/>
      <c r="Y66" s="145"/>
      <c r="Z66" s="145"/>
      <c r="AA66" s="145"/>
      <c r="AB66" s="145"/>
      <c r="AC66" s="145"/>
      <c r="AD66" s="145"/>
      <c r="AE66" s="145"/>
      <c r="AF66" s="233"/>
      <c r="AG66" s="145"/>
      <c r="AH66" s="145"/>
      <c r="AI66" s="145"/>
      <c r="AJ66" s="145"/>
      <c r="AK66" s="145"/>
      <c r="AL66" s="145"/>
      <c r="AM66" s="145"/>
      <c r="AN66" s="145"/>
      <c r="AO66" s="145"/>
      <c r="AP66" s="145"/>
      <c r="AQ66" s="145"/>
      <c r="AR66" s="145"/>
      <c r="AS66" s="145"/>
      <c r="AT66" s="145"/>
      <c r="AU66" s="145"/>
      <c r="AV66" s="145"/>
      <c r="AW66" s="145"/>
      <c r="AX66" s="145"/>
      <c r="AY66" s="229"/>
      <c r="AZ66" s="322"/>
      <c r="BA66" s="145"/>
      <c r="BB66" s="145"/>
      <c r="BC66" s="145"/>
      <c r="BD66" s="145"/>
      <c r="BE66" s="145"/>
      <c r="BF66" s="145"/>
      <c r="BG66" s="145"/>
      <c r="BH66" s="145"/>
      <c r="BI66" s="145"/>
      <c r="BJ66" s="145"/>
      <c r="BK66" s="145"/>
      <c r="BL66" s="145"/>
      <c r="BM66" s="145"/>
      <c r="BN66" s="145"/>
      <c r="BO66" s="145"/>
    </row>
    <row r="67" spans="1:67" ht="24.95" customHeight="1" x14ac:dyDescent="0.4">
      <c r="A67" s="147" t="s">
        <v>147</v>
      </c>
      <c r="B67" s="146" t="s">
        <v>184</v>
      </c>
      <c r="C67" s="146"/>
      <c r="D67" s="134"/>
      <c r="E67" s="134"/>
      <c r="F67" s="139"/>
      <c r="G67" s="140"/>
      <c r="H67" s="144"/>
      <c r="I67" s="144"/>
      <c r="J67" s="144"/>
      <c r="K67" s="144"/>
      <c r="L67" s="144"/>
      <c r="M67" s="144"/>
      <c r="N67" s="145"/>
      <c r="O67" s="145"/>
      <c r="P67" s="145"/>
      <c r="Q67" s="145"/>
      <c r="R67" s="145"/>
      <c r="S67" s="145"/>
      <c r="T67" s="145"/>
      <c r="U67" s="145"/>
      <c r="V67" s="145"/>
      <c r="W67" s="145"/>
      <c r="X67" s="148"/>
      <c r="Y67" s="145"/>
      <c r="Z67" s="145"/>
      <c r="AA67" s="145"/>
      <c r="AB67" s="145"/>
      <c r="AC67" s="145"/>
      <c r="AD67" s="145"/>
      <c r="AE67" s="145"/>
      <c r="AF67" s="233"/>
      <c r="AG67" s="145"/>
      <c r="AH67" s="145"/>
      <c r="AI67" s="145"/>
      <c r="AJ67" s="145"/>
      <c r="AK67" s="145"/>
      <c r="AL67" s="145"/>
      <c r="AM67" s="145"/>
      <c r="AN67" s="145"/>
      <c r="AO67" s="145"/>
      <c r="AP67" s="145"/>
      <c r="AQ67" s="145"/>
      <c r="AR67" s="145"/>
      <c r="AS67" s="145"/>
      <c r="AT67" s="145"/>
      <c r="AU67" s="145"/>
      <c r="AV67" s="145"/>
      <c r="AW67" s="145"/>
      <c r="AX67" s="145"/>
      <c r="AY67" s="229"/>
      <c r="AZ67" s="322"/>
      <c r="BA67" s="145"/>
      <c r="BB67" s="145"/>
      <c r="BC67" s="145"/>
      <c r="BD67" s="145"/>
      <c r="BE67" s="145"/>
      <c r="BF67" s="145"/>
      <c r="BG67" s="145"/>
      <c r="BH67" s="145"/>
      <c r="BI67" s="145"/>
      <c r="BJ67" s="145"/>
      <c r="BK67" s="145"/>
      <c r="BL67" s="145"/>
      <c r="BM67" s="145"/>
      <c r="BN67" s="145"/>
      <c r="BO67" s="145"/>
    </row>
    <row r="68" spans="1:67" ht="24.95" customHeight="1" x14ac:dyDescent="0.4">
      <c r="A68" s="147" t="s">
        <v>126</v>
      </c>
      <c r="B68" s="146" t="s">
        <v>185</v>
      </c>
      <c r="C68" s="146"/>
      <c r="D68" s="134"/>
      <c r="E68" s="134"/>
      <c r="F68" s="139"/>
      <c r="G68" s="140"/>
      <c r="H68" s="144"/>
      <c r="I68" s="144"/>
      <c r="J68" s="144"/>
      <c r="K68" s="144"/>
      <c r="L68" s="144"/>
      <c r="M68" s="144"/>
      <c r="N68" s="145"/>
      <c r="O68" s="145"/>
      <c r="P68" s="145"/>
      <c r="Q68" s="145"/>
      <c r="R68" s="145"/>
      <c r="S68" s="145"/>
      <c r="T68" s="145"/>
      <c r="U68" s="145"/>
      <c r="V68" s="145"/>
      <c r="W68" s="145"/>
      <c r="X68" s="148"/>
      <c r="Y68" s="145"/>
      <c r="Z68" s="145"/>
      <c r="AA68" s="145"/>
      <c r="AB68" s="145"/>
      <c r="AC68" s="145"/>
      <c r="AD68" s="145"/>
      <c r="AE68" s="145"/>
      <c r="AF68" s="233"/>
      <c r="AG68" s="145"/>
      <c r="AH68" s="145"/>
      <c r="AI68" s="145"/>
      <c r="AJ68" s="145"/>
      <c r="AK68" s="145"/>
      <c r="AL68" s="145"/>
      <c r="AM68" s="145"/>
      <c r="AN68" s="145"/>
      <c r="AO68" s="145"/>
      <c r="AP68" s="145"/>
      <c r="AQ68" s="145"/>
      <c r="AR68" s="145"/>
      <c r="AS68" s="145"/>
      <c r="AT68" s="145"/>
      <c r="AU68" s="145"/>
      <c r="AV68" s="145"/>
      <c r="AW68" s="145"/>
      <c r="AX68" s="145"/>
      <c r="AY68" s="229"/>
      <c r="AZ68" s="322"/>
      <c r="BA68" s="145"/>
      <c r="BB68" s="145"/>
      <c r="BC68" s="145"/>
      <c r="BD68" s="145"/>
      <c r="BE68" s="145"/>
      <c r="BF68" s="145"/>
      <c r="BG68" s="145"/>
      <c r="BH68" s="145"/>
      <c r="BI68" s="145"/>
      <c r="BJ68" s="145"/>
      <c r="BK68" s="145"/>
      <c r="BL68" s="145"/>
      <c r="BM68" s="145"/>
      <c r="BN68" s="145"/>
      <c r="BO68" s="145"/>
    </row>
    <row r="69" spans="1:67" ht="24.95" customHeight="1" x14ac:dyDescent="0.4">
      <c r="A69" s="147" t="s">
        <v>171</v>
      </c>
      <c r="B69" s="146" t="s">
        <v>186</v>
      </c>
      <c r="C69" s="146"/>
      <c r="D69" s="134"/>
      <c r="E69" s="134"/>
      <c r="F69" s="139"/>
      <c r="G69" s="140"/>
      <c r="H69" s="144"/>
      <c r="I69" s="144"/>
      <c r="J69" s="144"/>
      <c r="K69" s="144"/>
      <c r="L69" s="144"/>
      <c r="M69" s="144"/>
      <c r="N69" s="145"/>
      <c r="O69" s="145"/>
      <c r="P69" s="145"/>
      <c r="Q69" s="145"/>
      <c r="R69" s="145"/>
      <c r="S69" s="145"/>
      <c r="T69" s="145"/>
      <c r="U69" s="145"/>
      <c r="V69" s="145"/>
      <c r="W69" s="145"/>
      <c r="X69" s="148"/>
      <c r="Y69" s="145"/>
      <c r="Z69" s="145"/>
      <c r="AA69" s="145"/>
      <c r="AB69" s="145"/>
      <c r="AC69" s="145"/>
      <c r="AD69" s="145"/>
      <c r="AE69" s="145"/>
      <c r="AF69" s="233"/>
      <c r="AG69" s="145"/>
      <c r="AH69" s="145"/>
      <c r="AI69" s="145"/>
      <c r="AJ69" s="145"/>
      <c r="AK69" s="145"/>
      <c r="AL69" s="145"/>
      <c r="AM69" s="145"/>
      <c r="AN69" s="145"/>
      <c r="AO69" s="145"/>
      <c r="AP69" s="145"/>
      <c r="AQ69" s="145"/>
      <c r="AR69" s="145"/>
      <c r="AS69" s="145"/>
      <c r="AT69" s="145"/>
      <c r="AU69" s="145"/>
      <c r="AV69" s="145"/>
      <c r="AW69" s="145"/>
      <c r="AX69" s="145"/>
      <c r="AY69" s="229"/>
      <c r="AZ69" s="322"/>
      <c r="BA69" s="145"/>
      <c r="BB69" s="145"/>
      <c r="BC69" s="145"/>
      <c r="BD69" s="145"/>
      <c r="BE69" s="145"/>
      <c r="BF69" s="145"/>
      <c r="BG69" s="145"/>
      <c r="BH69" s="145"/>
      <c r="BI69" s="145"/>
      <c r="BJ69" s="145"/>
      <c r="BK69" s="145"/>
      <c r="BL69" s="145"/>
      <c r="BM69" s="145"/>
      <c r="BN69" s="145"/>
      <c r="BO69" s="145"/>
    </row>
    <row r="70" spans="1:67" ht="24.95" customHeight="1" x14ac:dyDescent="0.4">
      <c r="A70" s="147" t="s">
        <v>187</v>
      </c>
      <c r="B70" s="146" t="s">
        <v>188</v>
      </c>
      <c r="C70" s="146"/>
      <c r="D70" s="134"/>
      <c r="E70" s="134"/>
      <c r="F70" s="139"/>
      <c r="G70" s="140"/>
      <c r="H70" s="144"/>
      <c r="I70" s="144"/>
      <c r="J70" s="144"/>
      <c r="K70" s="144"/>
      <c r="L70" s="144"/>
      <c r="M70" s="144"/>
      <c r="N70" s="145"/>
      <c r="O70" s="145"/>
      <c r="P70" s="145"/>
      <c r="Q70" s="145"/>
      <c r="R70" s="145"/>
      <c r="S70" s="145"/>
      <c r="T70" s="145"/>
      <c r="U70" s="145"/>
      <c r="V70" s="145"/>
      <c r="W70" s="145"/>
      <c r="X70" s="148"/>
      <c r="Y70" s="145"/>
      <c r="Z70" s="145"/>
      <c r="AA70" s="145"/>
      <c r="AB70" s="145"/>
      <c r="AC70" s="145"/>
      <c r="AD70" s="145"/>
      <c r="AE70" s="145"/>
      <c r="AF70" s="233"/>
      <c r="AG70" s="145"/>
      <c r="AH70" s="145"/>
      <c r="AI70" s="145"/>
      <c r="AJ70" s="145"/>
      <c r="AK70" s="145"/>
      <c r="AL70" s="145"/>
      <c r="AM70" s="145"/>
      <c r="AN70" s="145"/>
      <c r="AO70" s="145"/>
      <c r="AP70" s="145"/>
      <c r="AQ70" s="145"/>
      <c r="AR70" s="145"/>
      <c r="AS70" s="145"/>
      <c r="AT70" s="145"/>
      <c r="AU70" s="145"/>
      <c r="AV70" s="145"/>
      <c r="AW70" s="145"/>
      <c r="AX70" s="145"/>
      <c r="AY70" s="229"/>
      <c r="AZ70" s="322"/>
      <c r="BA70" s="145"/>
      <c r="BB70" s="145"/>
      <c r="BC70" s="145"/>
      <c r="BD70" s="145"/>
      <c r="BE70" s="145"/>
      <c r="BF70" s="145"/>
      <c r="BG70" s="145"/>
      <c r="BH70" s="145"/>
      <c r="BI70" s="145"/>
      <c r="BJ70" s="145"/>
      <c r="BK70" s="145"/>
      <c r="BL70" s="145"/>
      <c r="BM70" s="145"/>
      <c r="BN70" s="145"/>
      <c r="BO70" s="145"/>
    </row>
    <row r="71" spans="1:67" ht="24.95" customHeight="1" x14ac:dyDescent="0.4">
      <c r="A71" s="147"/>
      <c r="C71" s="146"/>
      <c r="D71" s="134"/>
      <c r="E71" s="134"/>
      <c r="F71" s="139"/>
      <c r="G71" s="140"/>
      <c r="H71" s="144"/>
      <c r="I71" s="144"/>
      <c r="J71" s="144"/>
      <c r="K71" s="144"/>
      <c r="L71" s="144"/>
      <c r="M71" s="144"/>
      <c r="N71" s="145"/>
      <c r="O71" s="145"/>
      <c r="P71" s="145"/>
      <c r="Q71" s="145"/>
      <c r="R71" s="145"/>
      <c r="S71" s="145"/>
      <c r="T71" s="145"/>
      <c r="U71" s="145"/>
      <c r="V71" s="145"/>
      <c r="W71" s="145"/>
      <c r="X71" s="148"/>
      <c r="Y71" s="145"/>
      <c r="Z71" s="145"/>
      <c r="AA71" s="145"/>
      <c r="AB71" s="145"/>
      <c r="AC71" s="145"/>
      <c r="AD71" s="145"/>
      <c r="AE71" s="145"/>
      <c r="AF71" s="233"/>
      <c r="AG71" s="145"/>
      <c r="AH71" s="145"/>
      <c r="AI71" s="145"/>
      <c r="AJ71" s="145"/>
      <c r="AK71" s="145"/>
      <c r="AL71" s="145"/>
      <c r="AM71" s="145"/>
      <c r="AN71" s="145"/>
      <c r="AO71" s="145"/>
      <c r="AP71" s="145"/>
      <c r="AQ71" s="145"/>
      <c r="AR71" s="145"/>
      <c r="AS71" s="145"/>
      <c r="AT71" s="145"/>
      <c r="AU71" s="145"/>
      <c r="AV71" s="145"/>
      <c r="AW71" s="145"/>
      <c r="AX71" s="145"/>
      <c r="AY71" s="229"/>
      <c r="AZ71" s="322"/>
      <c r="BA71" s="145"/>
      <c r="BB71" s="145"/>
      <c r="BC71" s="145"/>
      <c r="BD71" s="145"/>
      <c r="BE71" s="145"/>
      <c r="BF71" s="145"/>
      <c r="BG71" s="145"/>
      <c r="BH71" s="145"/>
      <c r="BI71" s="145"/>
      <c r="BJ71" s="145"/>
      <c r="BK71" s="145"/>
      <c r="BL71" s="145"/>
      <c r="BM71" s="145"/>
      <c r="BN71" s="145"/>
      <c r="BO71" s="145"/>
    </row>
    <row r="72" spans="1:67" ht="24.95" customHeight="1" x14ac:dyDescent="0.4">
      <c r="A72" s="147" t="s">
        <v>189</v>
      </c>
      <c r="B72" s="146" t="s">
        <v>190</v>
      </c>
      <c r="C72" s="146"/>
      <c r="D72" s="134"/>
      <c r="E72" s="134"/>
      <c r="F72" s="139"/>
      <c r="G72" s="140"/>
      <c r="H72" s="144"/>
      <c r="I72" s="144"/>
      <c r="J72" s="144"/>
      <c r="K72" s="144"/>
      <c r="L72" s="144"/>
      <c r="M72" s="144"/>
      <c r="N72" s="145"/>
      <c r="O72" s="145"/>
      <c r="P72" s="145"/>
      <c r="Q72" s="145"/>
      <c r="R72" s="145"/>
      <c r="S72" s="145"/>
      <c r="T72" s="145"/>
      <c r="U72" s="145"/>
      <c r="V72" s="145"/>
      <c r="W72" s="145"/>
      <c r="X72" s="148"/>
      <c r="Y72" s="145"/>
      <c r="Z72" s="145"/>
      <c r="AA72" s="145"/>
      <c r="AB72" s="145"/>
      <c r="AC72" s="145"/>
      <c r="AD72" s="145"/>
      <c r="AE72" s="145"/>
      <c r="AF72" s="233"/>
      <c r="AG72" s="145"/>
      <c r="AH72" s="145"/>
      <c r="AI72" s="145"/>
      <c r="AJ72" s="145"/>
      <c r="AK72" s="145"/>
      <c r="AL72" s="145"/>
      <c r="AM72" s="145"/>
      <c r="AN72" s="145"/>
      <c r="AO72" s="145"/>
      <c r="AP72" s="145"/>
      <c r="AQ72" s="145"/>
      <c r="AR72" s="145"/>
      <c r="AS72" s="145"/>
      <c r="AT72" s="145"/>
      <c r="AU72" s="145"/>
      <c r="AV72" s="145"/>
      <c r="AW72" s="145"/>
      <c r="AX72" s="145"/>
      <c r="AY72" s="229"/>
      <c r="AZ72" s="322"/>
      <c r="BA72" s="145"/>
      <c r="BB72" s="145"/>
      <c r="BC72" s="145"/>
      <c r="BD72" s="145"/>
      <c r="BE72" s="145"/>
      <c r="BF72" s="145"/>
      <c r="BG72" s="145"/>
      <c r="BH72" s="145"/>
      <c r="BI72" s="145"/>
      <c r="BJ72" s="145"/>
      <c r="BK72" s="145"/>
      <c r="BL72" s="145"/>
      <c r="BM72" s="145"/>
      <c r="BN72" s="145"/>
      <c r="BO72" s="145"/>
    </row>
    <row r="73" spans="1:67" ht="24.95" customHeight="1" x14ac:dyDescent="0.4">
      <c r="A73" s="149" t="s">
        <v>120</v>
      </c>
      <c r="B73" s="150" t="s">
        <v>191</v>
      </c>
      <c r="C73" s="150"/>
      <c r="D73" s="134"/>
      <c r="E73" s="134"/>
      <c r="F73" s="139"/>
      <c r="G73" s="140"/>
      <c r="H73" s="144"/>
      <c r="I73" s="144"/>
      <c r="J73" s="144"/>
      <c r="K73" s="144"/>
      <c r="L73" s="144"/>
      <c r="M73" s="144"/>
      <c r="N73" s="145"/>
      <c r="O73" s="145"/>
      <c r="P73" s="145"/>
      <c r="Q73" s="145"/>
      <c r="R73" s="145"/>
      <c r="S73" s="145"/>
      <c r="T73" s="145"/>
      <c r="U73" s="145"/>
      <c r="V73" s="145"/>
      <c r="W73" s="145"/>
      <c r="X73" s="148"/>
      <c r="Y73" s="145"/>
      <c r="Z73" s="145"/>
      <c r="AA73" s="145"/>
      <c r="AB73" s="145"/>
      <c r="AC73" s="145"/>
      <c r="AD73" s="145"/>
      <c r="AE73" s="145"/>
      <c r="AF73" s="233"/>
      <c r="AG73" s="145"/>
      <c r="AH73" s="145"/>
      <c r="AI73" s="145"/>
      <c r="AJ73" s="145"/>
      <c r="AK73" s="145"/>
      <c r="AL73" s="145"/>
      <c r="AM73" s="145"/>
      <c r="AN73" s="145"/>
      <c r="AO73" s="145"/>
      <c r="AP73" s="145"/>
      <c r="AQ73" s="145"/>
      <c r="AR73" s="145"/>
      <c r="AS73" s="145"/>
      <c r="AT73" s="145"/>
      <c r="AU73" s="145"/>
      <c r="AV73" s="145"/>
      <c r="AW73" s="145"/>
      <c r="AX73" s="145"/>
      <c r="AY73" s="229"/>
      <c r="AZ73" s="322"/>
      <c r="BA73" s="145"/>
      <c r="BB73" s="145"/>
      <c r="BC73" s="145"/>
      <c r="BD73" s="145"/>
      <c r="BE73" s="145"/>
      <c r="BF73" s="145"/>
      <c r="BG73" s="145"/>
      <c r="BH73" s="145"/>
      <c r="BI73" s="145"/>
      <c r="BJ73" s="145"/>
      <c r="BK73" s="145"/>
      <c r="BL73" s="145"/>
      <c r="BM73" s="145"/>
      <c r="BN73" s="145"/>
      <c r="BO73" s="145"/>
    </row>
    <row r="74" spans="1:67" ht="24.95" customHeight="1" x14ac:dyDescent="0.4">
      <c r="A74" s="149" t="s">
        <v>33</v>
      </c>
      <c r="B74" s="151" t="s">
        <v>192</v>
      </c>
      <c r="C74" s="151"/>
      <c r="D74" s="134"/>
      <c r="E74" s="134"/>
      <c r="F74" s="139"/>
      <c r="G74" s="140"/>
      <c r="H74" s="144"/>
      <c r="I74" s="144"/>
      <c r="J74" s="144"/>
      <c r="K74" s="144"/>
      <c r="L74" s="144"/>
      <c r="M74" s="144"/>
      <c r="N74" s="145"/>
      <c r="O74" s="145"/>
      <c r="P74" s="145"/>
      <c r="Q74" s="145"/>
      <c r="R74" s="145"/>
      <c r="S74" s="145"/>
      <c r="T74" s="145"/>
      <c r="U74" s="145"/>
      <c r="V74" s="145"/>
      <c r="W74" s="145"/>
      <c r="X74" s="148"/>
      <c r="Y74" s="145"/>
      <c r="Z74" s="145"/>
      <c r="AA74" s="145"/>
      <c r="AB74" s="145"/>
      <c r="AC74" s="145"/>
      <c r="AD74" s="145"/>
      <c r="AE74" s="145"/>
      <c r="AF74" s="233"/>
      <c r="AG74" s="145"/>
      <c r="AH74" s="145"/>
      <c r="AI74" s="145"/>
      <c r="AJ74" s="145"/>
      <c r="AK74" s="145"/>
      <c r="AL74" s="145"/>
      <c r="AM74" s="145"/>
      <c r="AN74" s="145"/>
      <c r="AO74" s="145"/>
      <c r="AP74" s="145"/>
      <c r="AQ74" s="145"/>
      <c r="AR74" s="145"/>
      <c r="AS74" s="145"/>
      <c r="AT74" s="145"/>
      <c r="AU74" s="145"/>
      <c r="AV74" s="145"/>
      <c r="AW74" s="145"/>
      <c r="AX74" s="145"/>
      <c r="AY74" s="229"/>
      <c r="AZ74" s="322"/>
      <c r="BA74" s="145"/>
      <c r="BB74" s="145"/>
      <c r="BC74" s="145"/>
      <c r="BD74" s="145"/>
      <c r="BE74" s="145"/>
      <c r="BF74" s="145"/>
      <c r="BG74" s="145"/>
      <c r="BH74" s="145"/>
      <c r="BI74" s="145"/>
      <c r="BJ74" s="145"/>
      <c r="BK74" s="145"/>
      <c r="BL74" s="145"/>
      <c r="BM74" s="145"/>
      <c r="BN74" s="145"/>
      <c r="BO74" s="145"/>
    </row>
    <row r="75" spans="1:67" x14ac:dyDescent="0.4">
      <c r="A75" s="152"/>
      <c r="B75" s="153"/>
      <c r="C75" s="153"/>
      <c r="D75" s="154"/>
      <c r="E75" s="154"/>
      <c r="F75" s="155"/>
      <c r="X75" s="156"/>
    </row>
    <row r="76" spans="1:67" x14ac:dyDescent="0.4">
      <c r="A76" s="152"/>
      <c r="B76" s="152"/>
      <c r="C76" s="152"/>
      <c r="D76" s="154"/>
      <c r="E76" s="154"/>
      <c r="F76" s="155"/>
      <c r="X76" s="156"/>
    </row>
    <row r="77" spans="1:67" x14ac:dyDescent="0.4">
      <c r="A77" s="152"/>
      <c r="B77" s="152"/>
      <c r="C77" s="152"/>
      <c r="D77" s="154"/>
      <c r="E77" s="154"/>
      <c r="F77" s="155"/>
      <c r="X77" s="156"/>
    </row>
    <row r="78" spans="1:67" x14ac:dyDescent="0.4">
      <c r="A78" s="152"/>
      <c r="B78" s="152"/>
      <c r="C78" s="152"/>
      <c r="D78" s="154"/>
      <c r="E78" s="154"/>
      <c r="F78" s="155"/>
      <c r="X78" s="156"/>
    </row>
    <row r="79" spans="1:67" x14ac:dyDescent="0.4">
      <c r="A79" s="152"/>
      <c r="B79" s="152"/>
      <c r="C79" s="152"/>
      <c r="D79" s="154"/>
      <c r="E79" s="154"/>
      <c r="F79" s="155"/>
      <c r="X79" s="156"/>
    </row>
    <row r="80" spans="1:67" x14ac:dyDescent="0.4">
      <c r="A80" s="152"/>
      <c r="B80" s="152"/>
      <c r="C80" s="152"/>
      <c r="D80" s="154"/>
      <c r="E80" s="154"/>
      <c r="F80" s="155"/>
      <c r="X80" s="156"/>
    </row>
    <row r="81" spans="1:24" x14ac:dyDescent="0.4">
      <c r="A81" s="152"/>
      <c r="B81" s="152"/>
      <c r="C81" s="152"/>
      <c r="D81" s="154"/>
      <c r="E81" s="154"/>
      <c r="F81" s="155"/>
      <c r="X81" s="156"/>
    </row>
    <row r="82" spans="1:24" x14ac:dyDescent="0.4">
      <c r="A82" s="152"/>
      <c r="B82" s="152"/>
      <c r="C82" s="152"/>
      <c r="D82" s="154"/>
      <c r="E82" s="154"/>
      <c r="F82" s="155"/>
      <c r="X82" s="156"/>
    </row>
    <row r="83" spans="1:24" x14ac:dyDescent="0.4">
      <c r="A83" s="152"/>
      <c r="B83" s="152"/>
      <c r="C83" s="152"/>
      <c r="D83" s="154"/>
      <c r="E83" s="154"/>
      <c r="F83" s="155"/>
      <c r="X83" s="156"/>
    </row>
    <row r="84" spans="1:24" x14ac:dyDescent="0.4">
      <c r="A84" s="152"/>
      <c r="B84" s="152"/>
      <c r="C84" s="152"/>
      <c r="D84" s="154"/>
      <c r="E84" s="154"/>
      <c r="F84" s="155"/>
      <c r="X84" s="156"/>
    </row>
    <row r="85" spans="1:24" x14ac:dyDescent="0.4">
      <c r="A85" s="152"/>
      <c r="B85" s="152"/>
      <c r="C85" s="152"/>
      <c r="D85" s="154"/>
      <c r="E85" s="154"/>
      <c r="F85" s="155"/>
      <c r="X85" s="156"/>
    </row>
    <row r="86" spans="1:24" x14ac:dyDescent="0.4">
      <c r="A86" s="152"/>
      <c r="B86" s="152"/>
      <c r="C86" s="152"/>
      <c r="D86" s="154"/>
      <c r="E86" s="154"/>
      <c r="F86" s="155"/>
      <c r="X86" s="156"/>
    </row>
    <row r="87" spans="1:24" x14ac:dyDescent="0.4">
      <c r="A87" s="152"/>
      <c r="B87" s="152"/>
      <c r="C87" s="152"/>
      <c r="D87" s="154"/>
      <c r="E87" s="154"/>
      <c r="F87" s="155"/>
      <c r="X87" s="156"/>
    </row>
    <row r="88" spans="1:24" x14ac:dyDescent="0.4">
      <c r="A88" s="152"/>
      <c r="B88" s="152"/>
      <c r="C88" s="152"/>
      <c r="D88" s="154"/>
      <c r="E88" s="154"/>
      <c r="F88" s="155"/>
      <c r="X88" s="156"/>
    </row>
    <row r="89" spans="1:24" x14ac:dyDescent="0.4">
      <c r="A89" s="152"/>
      <c r="B89" s="152"/>
      <c r="C89" s="152"/>
      <c r="D89" s="154"/>
      <c r="E89" s="154"/>
      <c r="F89" s="155"/>
      <c r="X89" s="156"/>
    </row>
    <row r="90" spans="1:24" x14ac:dyDescent="0.4">
      <c r="A90" s="152"/>
      <c r="B90" s="152"/>
      <c r="C90" s="152"/>
      <c r="D90" s="154"/>
      <c r="E90" s="154"/>
      <c r="F90" s="155"/>
      <c r="X90" s="156"/>
    </row>
    <row r="91" spans="1:24" x14ac:dyDescent="0.4">
      <c r="A91" s="152"/>
      <c r="B91" s="152"/>
      <c r="C91" s="152"/>
      <c r="D91" s="154"/>
      <c r="E91" s="154"/>
      <c r="F91" s="155"/>
      <c r="X91" s="156"/>
    </row>
    <row r="92" spans="1:24" x14ac:dyDescent="0.4">
      <c r="A92" s="152"/>
      <c r="B92" s="152"/>
      <c r="C92" s="152"/>
      <c r="D92" s="154"/>
      <c r="E92" s="154"/>
      <c r="F92" s="155"/>
      <c r="X92" s="156"/>
    </row>
    <row r="93" spans="1:24" x14ac:dyDescent="0.4">
      <c r="A93" s="152"/>
      <c r="B93" s="152"/>
      <c r="C93" s="152"/>
      <c r="D93" s="154"/>
      <c r="E93" s="154"/>
      <c r="F93" s="155"/>
      <c r="X93" s="156"/>
    </row>
    <row r="94" spans="1:24" x14ac:dyDescent="0.4">
      <c r="A94" s="152"/>
      <c r="B94" s="152"/>
      <c r="C94" s="152"/>
      <c r="D94" s="154"/>
      <c r="E94" s="154"/>
      <c r="F94" s="155"/>
      <c r="X94" s="156"/>
    </row>
    <row r="95" spans="1:24" x14ac:dyDescent="0.4">
      <c r="A95" s="152"/>
      <c r="B95" s="152"/>
      <c r="C95" s="152"/>
      <c r="D95" s="154"/>
      <c r="E95" s="154"/>
      <c r="F95" s="155"/>
      <c r="X95" s="156"/>
    </row>
    <row r="96" spans="1:24" x14ac:dyDescent="0.4">
      <c r="A96" s="152"/>
      <c r="B96" s="152"/>
      <c r="C96" s="152"/>
      <c r="D96" s="154"/>
      <c r="E96" s="154"/>
      <c r="F96" s="155"/>
      <c r="X96" s="156"/>
    </row>
    <row r="97" spans="1:24" x14ac:dyDescent="0.4">
      <c r="A97" s="152"/>
      <c r="B97" s="152"/>
      <c r="C97" s="152"/>
      <c r="D97" s="154"/>
      <c r="E97" s="154"/>
      <c r="F97" s="155"/>
      <c r="X97" s="156"/>
    </row>
    <row r="98" spans="1:24" x14ac:dyDescent="0.4">
      <c r="A98" s="152"/>
      <c r="B98" s="152"/>
      <c r="C98" s="152"/>
      <c r="D98" s="154"/>
      <c r="E98" s="154"/>
      <c r="F98" s="155"/>
      <c r="X98" s="156"/>
    </row>
    <row r="99" spans="1:24" x14ac:dyDescent="0.4">
      <c r="A99" s="152"/>
      <c r="B99" s="152"/>
      <c r="C99" s="152"/>
      <c r="D99" s="154"/>
      <c r="E99" s="154"/>
      <c r="F99" s="155"/>
      <c r="X99" s="156"/>
    </row>
    <row r="100" spans="1:24" x14ac:dyDescent="0.4">
      <c r="A100" s="152"/>
      <c r="B100" s="152"/>
      <c r="C100" s="152"/>
      <c r="D100" s="154"/>
      <c r="E100" s="154"/>
      <c r="F100" s="155"/>
      <c r="X100" s="156"/>
    </row>
    <row r="101" spans="1:24" x14ac:dyDescent="0.4">
      <c r="A101" s="152"/>
      <c r="B101" s="152"/>
      <c r="C101" s="152"/>
      <c r="D101" s="154"/>
      <c r="E101" s="154"/>
      <c r="F101" s="155"/>
      <c r="X101" s="156"/>
    </row>
    <row r="102" spans="1:24" x14ac:dyDescent="0.4">
      <c r="A102" s="152"/>
      <c r="B102" s="152"/>
      <c r="C102" s="152"/>
      <c r="D102" s="154"/>
      <c r="E102" s="154"/>
      <c r="F102" s="155"/>
      <c r="X102" s="156"/>
    </row>
    <row r="103" spans="1:24" x14ac:dyDescent="0.4">
      <c r="X103" s="156"/>
    </row>
    <row r="104" spans="1:24" x14ac:dyDescent="0.4">
      <c r="X104" s="156"/>
    </row>
    <row r="105" spans="1:24" x14ac:dyDescent="0.4">
      <c r="X105" s="156"/>
    </row>
    <row r="106" spans="1:24" x14ac:dyDescent="0.4">
      <c r="X106" s="156"/>
    </row>
    <row r="107" spans="1:24" x14ac:dyDescent="0.4">
      <c r="X107" s="156"/>
    </row>
    <row r="108" spans="1:24" x14ac:dyDescent="0.4">
      <c r="X108" s="156"/>
    </row>
    <row r="109" spans="1:24" x14ac:dyDescent="0.4">
      <c r="X109" s="156"/>
    </row>
    <row r="110" spans="1:24" x14ac:dyDescent="0.4">
      <c r="X110" s="156"/>
    </row>
    <row r="111" spans="1:24" x14ac:dyDescent="0.4">
      <c r="X111" s="156"/>
    </row>
    <row r="112" spans="1:24" x14ac:dyDescent="0.4">
      <c r="X112" s="156"/>
    </row>
    <row r="113" spans="24:24" x14ac:dyDescent="0.4">
      <c r="X113" s="156"/>
    </row>
    <row r="114" spans="24:24" x14ac:dyDescent="0.4">
      <c r="X114" s="156"/>
    </row>
    <row r="115" spans="24:24" x14ac:dyDescent="0.4">
      <c r="X115" s="156"/>
    </row>
    <row r="116" spans="24:24" x14ac:dyDescent="0.4">
      <c r="X116" s="156"/>
    </row>
    <row r="117" spans="24:24" x14ac:dyDescent="0.4">
      <c r="X117" s="156"/>
    </row>
    <row r="118" spans="24:24" x14ac:dyDescent="0.4">
      <c r="X118" s="156"/>
    </row>
    <row r="119" spans="24:24" x14ac:dyDescent="0.4">
      <c r="X119" s="156"/>
    </row>
    <row r="120" spans="24:24" x14ac:dyDescent="0.4">
      <c r="X120" s="157"/>
    </row>
    <row r="121" spans="24:24" x14ac:dyDescent="0.4">
      <c r="X121" s="157"/>
    </row>
    <row r="122" spans="24:24" x14ac:dyDescent="0.4">
      <c r="X122" s="157"/>
    </row>
    <row r="123" spans="24:24" x14ac:dyDescent="0.4">
      <c r="X123" s="157"/>
    </row>
    <row r="124" spans="24:24" x14ac:dyDescent="0.4">
      <c r="X124" s="157"/>
    </row>
    <row r="125" spans="24:24" x14ac:dyDescent="0.4">
      <c r="X125" s="157"/>
    </row>
  </sheetData>
  <sheetProtection formatRows="0" insertColumns="0" insertRows="0" insertHyperlinks="0" selectLockedCells="1" autoFilter="0" selectUnlockedCells="1"/>
  <autoFilter ref="B4:B5" xr:uid="{51CE6279-C46B-4C7F-ABC9-E18119488A9D}"/>
  <sortState xmlns:xlrd2="http://schemas.microsoft.com/office/spreadsheetml/2017/richdata2" ref="A7:BO58">
    <sortCondition ref="B7"/>
  </sortState>
  <mergeCells count="20">
    <mergeCell ref="A60:D60"/>
    <mergeCell ref="AI3:AI4"/>
    <mergeCell ref="AJ3:AJ4"/>
    <mergeCell ref="AK3:AY3"/>
    <mergeCell ref="BA3:BO3"/>
    <mergeCell ref="K5:N5"/>
    <mergeCell ref="O5:U5"/>
    <mergeCell ref="Y5:AC5"/>
    <mergeCell ref="AD5:AJ5"/>
    <mergeCell ref="AK5:BO5"/>
    <mergeCell ref="K2:BO2"/>
    <mergeCell ref="F3:J3"/>
    <mergeCell ref="K3:N3"/>
    <mergeCell ref="O3:X3"/>
    <mergeCell ref="Y3:AC3"/>
    <mergeCell ref="AD3:AD4"/>
    <mergeCell ref="AE3:AE4"/>
    <mergeCell ref="AF3:AF4"/>
    <mergeCell ref="AG3:AG4"/>
    <mergeCell ref="AH3:AH4"/>
  </mergeCells>
  <phoneticPr fontId="61" type="noConversion"/>
  <printOptions horizontalCentered="1" verticalCentered="1"/>
  <pageMargins left="0.05" right="0.05" top="0.1" bottom="0.1" header="0.05" footer="0.05"/>
  <pageSetup paperSize="3" scale="24" fitToHeight="0" pageOrder="overThenDown" orientation="landscape" r:id="rId1"/>
  <headerFooter>
    <oddFooter>Page &amp;P of &amp;N</oddFooter>
  </headerFooter>
  <colBreaks count="3" manualBreakCount="3">
    <brk id="15" max="70" man="1"/>
    <brk id="36" max="74" man="1"/>
    <brk id="50" max="70" man="1"/>
  </col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B40F5-3CCA-485A-B8BD-C0AA09B7AC97}">
  <dimension ref="A1:DQ179"/>
  <sheetViews>
    <sheetView tabSelected="1" topLeftCell="CO1" workbookViewId="0">
      <selection activeCell="CT31" sqref="CT31"/>
    </sheetView>
  </sheetViews>
  <sheetFormatPr defaultRowHeight="15" x14ac:dyDescent="0.25"/>
  <cols>
    <col min="1" max="1" width="15" customWidth="1"/>
    <col min="2" max="2" width="18.5703125" style="21" customWidth="1"/>
    <col min="4" max="4" width="19.7109375" customWidth="1"/>
  </cols>
  <sheetData>
    <row r="1" spans="1:121" s="21" customFormat="1" x14ac:dyDescent="0.25">
      <c r="A1" s="239"/>
      <c r="B1" s="239"/>
      <c r="C1" s="239"/>
      <c r="D1" s="239">
        <v>2</v>
      </c>
      <c r="E1" s="239"/>
      <c r="F1" s="239"/>
      <c r="G1" s="239"/>
      <c r="H1" s="239"/>
      <c r="I1" s="239"/>
      <c r="J1" s="239"/>
      <c r="K1" s="239"/>
      <c r="L1" s="239"/>
      <c r="M1" s="239"/>
      <c r="N1" s="239"/>
      <c r="O1" s="239">
        <v>13</v>
      </c>
      <c r="P1" s="239"/>
      <c r="Q1" s="239"/>
      <c r="R1" s="239"/>
      <c r="S1" s="239"/>
      <c r="T1" s="239">
        <v>18</v>
      </c>
      <c r="U1" s="239"/>
      <c r="V1" s="239"/>
      <c r="W1" s="239"/>
      <c r="X1" s="239"/>
      <c r="Y1" s="239"/>
      <c r="Z1" s="239"/>
      <c r="AA1" s="239"/>
      <c r="AB1" s="239"/>
      <c r="AC1" s="239"/>
      <c r="AD1" s="239"/>
      <c r="AE1" s="239"/>
      <c r="AF1" s="239"/>
      <c r="AG1" s="239"/>
      <c r="AH1" s="239"/>
      <c r="AI1" s="239"/>
      <c r="AJ1" s="239"/>
      <c r="AK1" s="239"/>
      <c r="AL1" s="239"/>
      <c r="AM1" s="239"/>
      <c r="AN1" s="239"/>
      <c r="AO1" s="239"/>
      <c r="AP1" s="239">
        <v>40</v>
      </c>
      <c r="AQ1" s="239"/>
      <c r="AR1" s="239"/>
      <c r="AS1" s="239"/>
      <c r="AT1" s="239">
        <v>44</v>
      </c>
      <c r="AU1" s="239"/>
      <c r="AV1" s="239"/>
      <c r="AW1" s="239"/>
      <c r="AX1" s="239"/>
      <c r="AY1" s="239"/>
      <c r="AZ1" s="239">
        <v>50</v>
      </c>
      <c r="BA1" s="239"/>
      <c r="BB1" s="239"/>
      <c r="BC1" s="239"/>
      <c r="BD1" s="239"/>
      <c r="BE1" s="239"/>
      <c r="BF1" s="239"/>
      <c r="BG1" s="239"/>
      <c r="BH1" s="239"/>
      <c r="BI1" s="239"/>
      <c r="BJ1" s="239"/>
      <c r="BK1" s="239"/>
      <c r="BL1" s="239">
        <v>62</v>
      </c>
      <c r="BM1" s="239"/>
      <c r="BN1" s="239"/>
      <c r="BO1" s="239"/>
      <c r="BP1" s="239"/>
      <c r="BQ1" s="239"/>
      <c r="BR1" s="239"/>
      <c r="BS1" s="239"/>
      <c r="BT1" s="239"/>
      <c r="BU1" s="239"/>
      <c r="BV1" s="239"/>
      <c r="BW1" s="239"/>
      <c r="BX1" s="239"/>
      <c r="BY1" s="239"/>
      <c r="BZ1" s="239"/>
      <c r="CA1" s="239">
        <v>77</v>
      </c>
      <c r="CB1" s="239"/>
      <c r="CC1" s="239"/>
      <c r="CD1" s="239">
        <v>80</v>
      </c>
      <c r="CE1" s="239"/>
      <c r="CF1" s="239"/>
      <c r="CG1" s="239"/>
      <c r="CH1" s="239"/>
      <c r="CI1" s="239">
        <v>85</v>
      </c>
      <c r="CJ1" s="239"/>
      <c r="CK1" s="239"/>
      <c r="CL1" s="239"/>
      <c r="CM1" s="239">
        <v>89</v>
      </c>
      <c r="CN1" s="239"/>
      <c r="CO1" s="239"/>
      <c r="CP1" s="239"/>
      <c r="CQ1" s="239"/>
      <c r="CR1" s="239"/>
      <c r="CS1" s="239">
        <v>95</v>
      </c>
      <c r="CT1" s="239"/>
      <c r="CU1" s="239"/>
      <c r="CV1" s="239"/>
      <c r="CW1" s="239"/>
      <c r="CX1" s="239">
        <v>100</v>
      </c>
      <c r="CY1" s="239"/>
      <c r="CZ1" s="239"/>
      <c r="DA1" s="239"/>
      <c r="DB1" s="239"/>
      <c r="DC1" s="239">
        <v>105</v>
      </c>
      <c r="DD1" s="239"/>
      <c r="DE1" s="239"/>
      <c r="DF1" s="239"/>
      <c r="DG1" s="239"/>
      <c r="DH1" s="239">
        <v>110</v>
      </c>
      <c r="DI1" s="239">
        <v>111</v>
      </c>
      <c r="DJ1" s="239"/>
      <c r="DK1" s="239"/>
      <c r="DL1" s="239"/>
      <c r="DM1" s="239">
        <v>115</v>
      </c>
      <c r="DN1" s="239"/>
      <c r="DO1" s="239"/>
      <c r="DP1" s="239"/>
      <c r="DQ1" s="239"/>
    </row>
    <row r="2" spans="1:121" s="11" customFormat="1" ht="75" x14ac:dyDescent="0.25">
      <c r="A2" s="57" t="s">
        <v>67</v>
      </c>
      <c r="B2" s="57" t="s">
        <v>272</v>
      </c>
      <c r="C2" s="57" t="s">
        <v>273</v>
      </c>
      <c r="D2" s="58" t="s">
        <v>274</v>
      </c>
      <c r="E2" s="57" t="s">
        <v>275</v>
      </c>
      <c r="F2" s="57" t="s">
        <v>688</v>
      </c>
      <c r="G2" s="57" t="s">
        <v>689</v>
      </c>
      <c r="H2" s="57" t="s">
        <v>690</v>
      </c>
      <c r="I2" s="57" t="s">
        <v>691</v>
      </c>
      <c r="J2" s="57" t="s">
        <v>692</v>
      </c>
      <c r="K2" s="57" t="s">
        <v>693</v>
      </c>
      <c r="L2" s="57" t="s">
        <v>694</v>
      </c>
      <c r="M2" s="57" t="s">
        <v>695</v>
      </c>
      <c r="N2" s="57" t="s">
        <v>696</v>
      </c>
      <c r="O2" s="57" t="s">
        <v>697</v>
      </c>
      <c r="P2" s="57" t="s">
        <v>698</v>
      </c>
      <c r="Q2" s="57" t="s">
        <v>699</v>
      </c>
      <c r="R2" s="57" t="s">
        <v>700</v>
      </c>
      <c r="S2" s="57" t="s">
        <v>701</v>
      </c>
      <c r="T2" s="57" t="s">
        <v>702</v>
      </c>
      <c r="U2" s="57" t="s">
        <v>703</v>
      </c>
      <c r="V2" s="57" t="s">
        <v>704</v>
      </c>
      <c r="W2" s="57" t="s">
        <v>705</v>
      </c>
      <c r="X2" s="57" t="s">
        <v>706</v>
      </c>
      <c r="Y2" s="57" t="s">
        <v>707</v>
      </c>
      <c r="Z2" s="57" t="s">
        <v>708</v>
      </c>
      <c r="AA2" s="57" t="s">
        <v>709</v>
      </c>
      <c r="AB2" s="57" t="s">
        <v>710</v>
      </c>
      <c r="AC2" s="57" t="s">
        <v>711</v>
      </c>
      <c r="AD2" s="57" t="s">
        <v>712</v>
      </c>
      <c r="AE2" s="57" t="s">
        <v>713</v>
      </c>
      <c r="AF2" s="57" t="s">
        <v>714</v>
      </c>
      <c r="AG2" s="57" t="s">
        <v>715</v>
      </c>
      <c r="AH2" s="57" t="s">
        <v>716</v>
      </c>
      <c r="AI2" s="57" t="s">
        <v>717</v>
      </c>
      <c r="AJ2" s="57" t="s">
        <v>718</v>
      </c>
      <c r="AK2" s="57" t="s">
        <v>719</v>
      </c>
      <c r="AL2" s="57" t="s">
        <v>720</v>
      </c>
      <c r="AM2" s="57" t="s">
        <v>721</v>
      </c>
      <c r="AN2" s="57" t="s">
        <v>722</v>
      </c>
      <c r="AO2" s="57" t="s">
        <v>723</v>
      </c>
      <c r="AP2" s="57" t="s">
        <v>724</v>
      </c>
      <c r="AQ2" s="57" t="s">
        <v>725</v>
      </c>
      <c r="AR2" s="57" t="s">
        <v>726</v>
      </c>
      <c r="AS2" s="57" t="s">
        <v>727</v>
      </c>
      <c r="AT2" s="57" t="s">
        <v>728</v>
      </c>
      <c r="AU2" s="57" t="s">
        <v>729</v>
      </c>
      <c r="AV2" s="57" t="s">
        <v>730</v>
      </c>
      <c r="AW2" s="57" t="s">
        <v>731</v>
      </c>
      <c r="AX2" s="57" t="s">
        <v>732</v>
      </c>
      <c r="AY2" s="57" t="s">
        <v>733</v>
      </c>
      <c r="AZ2" s="57" t="s">
        <v>734</v>
      </c>
      <c r="BA2" s="57" t="s">
        <v>735</v>
      </c>
      <c r="BB2" s="57" t="s">
        <v>736</v>
      </c>
      <c r="BC2" s="57" t="s">
        <v>737</v>
      </c>
      <c r="BD2" s="57" t="s">
        <v>738</v>
      </c>
      <c r="BE2" s="57" t="s">
        <v>739</v>
      </c>
      <c r="BF2" s="57" t="s">
        <v>740</v>
      </c>
      <c r="BG2" s="57" t="s">
        <v>741</v>
      </c>
      <c r="BH2" s="57" t="s">
        <v>742</v>
      </c>
      <c r="BI2" s="57" t="s">
        <v>743</v>
      </c>
      <c r="BJ2" s="57" t="s">
        <v>744</v>
      </c>
      <c r="BK2" s="57" t="s">
        <v>745</v>
      </c>
      <c r="BL2" s="57" t="s">
        <v>746</v>
      </c>
      <c r="BM2" s="57" t="s">
        <v>747</v>
      </c>
      <c r="BN2" s="57" t="s">
        <v>748</v>
      </c>
      <c r="BO2" s="57" t="s">
        <v>749</v>
      </c>
      <c r="BP2" s="57" t="s">
        <v>750</v>
      </c>
      <c r="BQ2" s="57" t="s">
        <v>751</v>
      </c>
      <c r="BR2" s="57" t="s">
        <v>752</v>
      </c>
      <c r="BS2" s="57" t="s">
        <v>753</v>
      </c>
      <c r="BT2" s="57" t="s">
        <v>754</v>
      </c>
      <c r="BU2" s="57" t="s">
        <v>755</v>
      </c>
      <c r="BV2" s="57" t="s">
        <v>756</v>
      </c>
      <c r="BW2" s="57" t="s">
        <v>757</v>
      </c>
      <c r="BX2" s="57" t="s">
        <v>758</v>
      </c>
      <c r="BY2" s="57" t="s">
        <v>759</v>
      </c>
      <c r="BZ2" s="57" t="s">
        <v>760</v>
      </c>
      <c r="CA2" s="57" t="s">
        <v>761</v>
      </c>
      <c r="CB2" s="57" t="s">
        <v>762</v>
      </c>
      <c r="CC2" s="57" t="s">
        <v>763</v>
      </c>
      <c r="CD2" s="57" t="s">
        <v>764</v>
      </c>
      <c r="CE2" s="57" t="s">
        <v>765</v>
      </c>
      <c r="CF2" s="57" t="s">
        <v>766</v>
      </c>
      <c r="CG2" s="57" t="s">
        <v>767</v>
      </c>
      <c r="CH2" s="57" t="s">
        <v>768</v>
      </c>
      <c r="CI2" s="57" t="s">
        <v>769</v>
      </c>
      <c r="CJ2" s="57" t="s">
        <v>770</v>
      </c>
      <c r="CK2" s="57" t="s">
        <v>771</v>
      </c>
      <c r="CL2" s="57" t="s">
        <v>772</v>
      </c>
      <c r="CM2" s="57" t="s">
        <v>773</v>
      </c>
      <c r="CN2" s="57" t="s">
        <v>774</v>
      </c>
      <c r="CO2" s="57" t="s">
        <v>775</v>
      </c>
      <c r="CP2" s="57" t="s">
        <v>776</v>
      </c>
      <c r="CQ2" s="57" t="s">
        <v>777</v>
      </c>
      <c r="CR2" s="57" t="s">
        <v>778</v>
      </c>
      <c r="CS2" s="57" t="s">
        <v>779</v>
      </c>
      <c r="CT2" s="57" t="s">
        <v>780</v>
      </c>
      <c r="CU2" s="57" t="s">
        <v>781</v>
      </c>
      <c r="CV2" s="57" t="s">
        <v>782</v>
      </c>
      <c r="CW2" s="57" t="s">
        <v>783</v>
      </c>
      <c r="CX2" s="57" t="s">
        <v>784</v>
      </c>
      <c r="CY2" s="57" t="s">
        <v>785</v>
      </c>
      <c r="CZ2" s="57" t="s">
        <v>15</v>
      </c>
      <c r="DA2" s="57" t="s">
        <v>786</v>
      </c>
      <c r="DB2" s="57" t="s">
        <v>276</v>
      </c>
      <c r="DC2" s="57" t="s">
        <v>787</v>
      </c>
      <c r="DD2" s="57" t="s">
        <v>277</v>
      </c>
      <c r="DE2" s="57" t="s">
        <v>788</v>
      </c>
      <c r="DF2" s="57" t="s">
        <v>789</v>
      </c>
      <c r="DG2" s="57" t="s">
        <v>790</v>
      </c>
      <c r="DH2" s="57" t="s">
        <v>791</v>
      </c>
      <c r="DI2" s="57" t="s">
        <v>792</v>
      </c>
      <c r="DJ2" s="57" t="s">
        <v>793</v>
      </c>
      <c r="DK2" s="57" t="s">
        <v>794</v>
      </c>
      <c r="DL2" s="57" t="s">
        <v>795</v>
      </c>
      <c r="DM2" s="67" t="s">
        <v>279</v>
      </c>
      <c r="DN2" s="67" t="s">
        <v>280</v>
      </c>
      <c r="DO2" s="67" t="s">
        <v>281</v>
      </c>
      <c r="DP2" s="67" t="s">
        <v>282</v>
      </c>
      <c r="DQ2" s="68" t="s">
        <v>796</v>
      </c>
    </row>
    <row r="3" spans="1:121" x14ac:dyDescent="0.25">
      <c r="A3" s="362" t="s">
        <v>144</v>
      </c>
      <c r="B3" s="56" t="str">
        <f>VLOOKUP(Table3[[#This Row],[Station]], StationName, 2, FALSE)</f>
        <v>L04-266-5</v>
      </c>
      <c r="C3" s="362">
        <v>1718003</v>
      </c>
      <c r="D3" s="221">
        <v>44341.365277777775</v>
      </c>
      <c r="E3" s="362" t="s">
        <v>283</v>
      </c>
      <c r="F3" s="362">
        <v>73</v>
      </c>
      <c r="G3" s="362">
        <v>91</v>
      </c>
      <c r="H3" s="362">
        <v>107</v>
      </c>
      <c r="I3" s="362">
        <v>94</v>
      </c>
      <c r="J3" s="362">
        <v>62</v>
      </c>
      <c r="K3" s="362">
        <v>58</v>
      </c>
      <c r="L3" s="362">
        <v>75</v>
      </c>
      <c r="M3" s="362">
        <v>74</v>
      </c>
      <c r="N3" s="362">
        <v>47</v>
      </c>
      <c r="O3" s="362" t="s">
        <v>259</v>
      </c>
      <c r="P3" s="362" t="s">
        <v>259</v>
      </c>
      <c r="Q3" s="362" t="s">
        <v>259</v>
      </c>
      <c r="R3" s="362" t="s">
        <v>259</v>
      </c>
      <c r="S3" s="362" t="s">
        <v>259</v>
      </c>
      <c r="T3" s="362" t="s">
        <v>259</v>
      </c>
      <c r="U3" s="362" t="s">
        <v>256</v>
      </c>
      <c r="V3" s="362" t="s">
        <v>256</v>
      </c>
      <c r="W3" s="362" t="s">
        <v>256</v>
      </c>
      <c r="X3" s="362" t="s">
        <v>256</v>
      </c>
      <c r="Y3" s="362" t="s">
        <v>284</v>
      </c>
      <c r="Z3" s="362" t="s">
        <v>256</v>
      </c>
      <c r="AA3" s="362" t="s">
        <v>256</v>
      </c>
      <c r="AB3" s="362" t="s">
        <v>256</v>
      </c>
      <c r="AC3" s="362" t="s">
        <v>256</v>
      </c>
      <c r="AD3" s="362" t="s">
        <v>256</v>
      </c>
      <c r="AE3" s="362" t="s">
        <v>256</v>
      </c>
      <c r="AF3" s="362" t="s">
        <v>256</v>
      </c>
      <c r="AG3" s="362" t="s">
        <v>256</v>
      </c>
      <c r="AH3" s="362" t="s">
        <v>256</v>
      </c>
      <c r="AI3" s="362" t="s">
        <v>256</v>
      </c>
      <c r="AJ3" s="362" t="s">
        <v>248</v>
      </c>
      <c r="AK3" s="362" t="s">
        <v>259</v>
      </c>
      <c r="AL3" s="362" t="s">
        <v>259</v>
      </c>
      <c r="AM3" s="362" t="s">
        <v>251</v>
      </c>
      <c r="AN3" s="362" t="s">
        <v>256</v>
      </c>
      <c r="AO3" s="362" t="s">
        <v>259</v>
      </c>
      <c r="AP3" s="362" t="s">
        <v>251</v>
      </c>
      <c r="AQ3" s="362" t="s">
        <v>256</v>
      </c>
      <c r="AR3" s="362" t="s">
        <v>256</v>
      </c>
      <c r="AS3" s="362" t="s">
        <v>285</v>
      </c>
      <c r="AT3" s="362" t="s">
        <v>259</v>
      </c>
      <c r="AU3" s="362" t="s">
        <v>284</v>
      </c>
      <c r="AV3" s="362" t="s">
        <v>259</v>
      </c>
      <c r="AW3" s="362" t="s">
        <v>256</v>
      </c>
      <c r="AX3" s="362" t="s">
        <v>256</v>
      </c>
      <c r="AY3" s="362" t="s">
        <v>256</v>
      </c>
      <c r="AZ3" s="362" t="s">
        <v>256</v>
      </c>
      <c r="BA3" s="362" t="s">
        <v>256</v>
      </c>
      <c r="BB3" s="362" t="s">
        <v>259</v>
      </c>
      <c r="BC3" s="362" t="s">
        <v>286</v>
      </c>
      <c r="BD3" s="362" t="s">
        <v>248</v>
      </c>
      <c r="BE3" s="362" t="s">
        <v>259</v>
      </c>
      <c r="BF3" s="362" t="s">
        <v>248</v>
      </c>
      <c r="BG3" s="362">
        <v>1.62</v>
      </c>
      <c r="BH3" s="362" t="s">
        <v>256</v>
      </c>
      <c r="BI3" s="362" t="s">
        <v>256</v>
      </c>
      <c r="BJ3" s="362" t="s">
        <v>256</v>
      </c>
      <c r="BK3" s="362" t="s">
        <v>256</v>
      </c>
      <c r="BL3" s="362" t="s">
        <v>256</v>
      </c>
      <c r="BM3" s="362" t="s">
        <v>259</v>
      </c>
      <c r="BN3" s="362" t="s">
        <v>256</v>
      </c>
      <c r="BO3" s="362" t="s">
        <v>259</v>
      </c>
      <c r="BP3" s="362" t="s">
        <v>284</v>
      </c>
      <c r="BQ3" s="362" t="s">
        <v>256</v>
      </c>
      <c r="BR3" s="362" t="s">
        <v>256</v>
      </c>
      <c r="BS3" s="362">
        <v>1.5</v>
      </c>
      <c r="BT3" s="362" t="s">
        <v>284</v>
      </c>
      <c r="BU3" s="362">
        <v>2.83</v>
      </c>
      <c r="BV3" s="362" t="s">
        <v>248</v>
      </c>
      <c r="BW3" s="362" t="s">
        <v>285</v>
      </c>
      <c r="BX3" s="362" t="s">
        <v>287</v>
      </c>
      <c r="BY3" s="362" t="s">
        <v>259</v>
      </c>
      <c r="BZ3" s="362" t="s">
        <v>259</v>
      </c>
      <c r="CA3" s="362">
        <v>2.6</v>
      </c>
      <c r="CB3" s="362">
        <v>1.8</v>
      </c>
      <c r="CC3" s="362">
        <v>379</v>
      </c>
      <c r="CD3" s="362" t="s">
        <v>230</v>
      </c>
      <c r="CE3" s="362">
        <v>0.37</v>
      </c>
      <c r="CF3" s="362">
        <v>5.4</v>
      </c>
      <c r="CG3" s="362">
        <v>3.4</v>
      </c>
      <c r="CH3" s="362">
        <v>1330</v>
      </c>
      <c r="CI3" s="362">
        <v>330</v>
      </c>
      <c r="CJ3" s="362" t="s">
        <v>254</v>
      </c>
      <c r="CK3" s="362">
        <v>93</v>
      </c>
      <c r="CL3" s="362">
        <v>1000</v>
      </c>
      <c r="CM3" s="362" t="s">
        <v>288</v>
      </c>
      <c r="CN3" s="362" t="s">
        <v>288</v>
      </c>
      <c r="CO3" s="362">
        <v>9.3000000000000007</v>
      </c>
      <c r="CP3" s="362">
        <v>4.9000000000000004</v>
      </c>
      <c r="CQ3" s="362" t="s">
        <v>254</v>
      </c>
      <c r="CR3" s="362" t="s">
        <v>254</v>
      </c>
      <c r="CS3" s="362">
        <v>5.6</v>
      </c>
      <c r="CT3" s="362" t="s">
        <v>284</v>
      </c>
      <c r="CU3" s="362">
        <v>0.17</v>
      </c>
      <c r="CV3" s="362">
        <v>330</v>
      </c>
      <c r="CW3" s="362">
        <v>0.81</v>
      </c>
      <c r="CX3" s="362">
        <v>0.82</v>
      </c>
      <c r="CY3" s="362">
        <v>0.27</v>
      </c>
      <c r="CZ3" s="362">
        <v>8</v>
      </c>
      <c r="DA3" s="362">
        <v>1.7</v>
      </c>
      <c r="DB3" s="362">
        <v>3700</v>
      </c>
      <c r="DC3" s="362">
        <v>1100</v>
      </c>
      <c r="DD3" s="362">
        <v>22.6</v>
      </c>
      <c r="DE3" s="362">
        <v>2400</v>
      </c>
      <c r="DF3" s="362" t="s">
        <v>289</v>
      </c>
      <c r="DG3" s="362">
        <v>3.6</v>
      </c>
      <c r="DH3" s="362">
        <v>1.8</v>
      </c>
      <c r="DI3" s="362">
        <v>3800</v>
      </c>
      <c r="DJ3" s="362" t="s">
        <v>290</v>
      </c>
      <c r="DK3" s="362" t="s">
        <v>291</v>
      </c>
      <c r="DL3" s="362" t="s">
        <v>292</v>
      </c>
      <c r="DM3" s="362">
        <v>7.57</v>
      </c>
      <c r="DN3" s="362">
        <v>7.25</v>
      </c>
      <c r="DO3" s="362">
        <v>5511</v>
      </c>
      <c r="DP3" s="362">
        <v>21.81</v>
      </c>
      <c r="DQ3" s="362">
        <v>1.24</v>
      </c>
    </row>
    <row r="4" spans="1:121" hidden="1" x14ac:dyDescent="0.25">
      <c r="A4" s="362" t="s">
        <v>144</v>
      </c>
      <c r="B4" s="56" t="str">
        <f>VLOOKUP(Table3[[#This Row],[Station]], StationName, 2, FALSE)</f>
        <v>L04-266-5</v>
      </c>
      <c r="C4" s="362">
        <v>1718006</v>
      </c>
      <c r="D4" s="221">
        <v>44341.365277777775</v>
      </c>
      <c r="E4" s="362" t="s">
        <v>293</v>
      </c>
      <c r="F4" s="362" t="s">
        <v>294</v>
      </c>
      <c r="G4" s="362" t="s">
        <v>294</v>
      </c>
      <c r="H4" s="362" t="s">
        <v>294</v>
      </c>
      <c r="I4" s="362" t="s">
        <v>294</v>
      </c>
      <c r="J4" s="362" t="s">
        <v>294</v>
      </c>
      <c r="K4" s="362" t="s">
        <v>294</v>
      </c>
      <c r="L4" s="362" t="s">
        <v>294</v>
      </c>
      <c r="M4" s="362" t="s">
        <v>294</v>
      </c>
      <c r="N4" s="362" t="s">
        <v>294</v>
      </c>
      <c r="O4" s="362" t="s">
        <v>294</v>
      </c>
      <c r="P4" s="362" t="s">
        <v>294</v>
      </c>
      <c r="Q4" s="362" t="s">
        <v>294</v>
      </c>
      <c r="R4" s="362" t="s">
        <v>294</v>
      </c>
      <c r="S4" s="362" t="s">
        <v>294</v>
      </c>
      <c r="T4" s="362" t="s">
        <v>294</v>
      </c>
      <c r="U4" s="362" t="s">
        <v>294</v>
      </c>
      <c r="V4" s="362" t="s">
        <v>294</v>
      </c>
      <c r="W4" s="362" t="s">
        <v>294</v>
      </c>
      <c r="X4" s="362" t="s">
        <v>294</v>
      </c>
      <c r="Y4" s="362" t="s">
        <v>294</v>
      </c>
      <c r="Z4" s="362" t="s">
        <v>294</v>
      </c>
      <c r="AA4" s="362" t="s">
        <v>294</v>
      </c>
      <c r="AB4" s="362" t="s">
        <v>294</v>
      </c>
      <c r="AC4" s="362" t="s">
        <v>294</v>
      </c>
      <c r="AD4" s="362" t="s">
        <v>294</v>
      </c>
      <c r="AE4" s="362" t="s">
        <v>294</v>
      </c>
      <c r="AF4" s="362" t="s">
        <v>294</v>
      </c>
      <c r="AG4" s="362" t="s">
        <v>294</v>
      </c>
      <c r="AH4" s="362" t="s">
        <v>294</v>
      </c>
      <c r="AI4" s="362" t="s">
        <v>294</v>
      </c>
      <c r="AJ4" s="362" t="s">
        <v>294</v>
      </c>
      <c r="AK4" s="362" t="s">
        <v>294</v>
      </c>
      <c r="AL4" s="362" t="s">
        <v>294</v>
      </c>
      <c r="AM4" s="362" t="s">
        <v>294</v>
      </c>
      <c r="AN4" s="362" t="s">
        <v>294</v>
      </c>
      <c r="AO4" s="362" t="s">
        <v>294</v>
      </c>
      <c r="AP4" s="362" t="s">
        <v>294</v>
      </c>
      <c r="AQ4" s="362" t="s">
        <v>294</v>
      </c>
      <c r="AR4" s="362" t="s">
        <v>294</v>
      </c>
      <c r="AS4" s="362" t="s">
        <v>294</v>
      </c>
      <c r="AT4" s="362" t="s">
        <v>294</v>
      </c>
      <c r="AU4" s="362" t="s">
        <v>294</v>
      </c>
      <c r="AV4" s="362" t="s">
        <v>294</v>
      </c>
      <c r="AW4" s="362" t="s">
        <v>294</v>
      </c>
      <c r="AX4" s="362" t="s">
        <v>294</v>
      </c>
      <c r="AY4" s="362" t="s">
        <v>294</v>
      </c>
      <c r="AZ4" s="362" t="s">
        <v>294</v>
      </c>
      <c r="BA4" s="362" t="s">
        <v>294</v>
      </c>
      <c r="BB4" s="362" t="s">
        <v>294</v>
      </c>
      <c r="BC4" s="362" t="s">
        <v>294</v>
      </c>
      <c r="BD4" s="362" t="s">
        <v>294</v>
      </c>
      <c r="BE4" s="362" t="s">
        <v>294</v>
      </c>
      <c r="BF4" s="362" t="s">
        <v>294</v>
      </c>
      <c r="BG4" s="362" t="s">
        <v>294</v>
      </c>
      <c r="BH4" s="362" t="s">
        <v>294</v>
      </c>
      <c r="BI4" s="362" t="s">
        <v>294</v>
      </c>
      <c r="BJ4" s="362" t="s">
        <v>294</v>
      </c>
      <c r="BK4" s="362" t="s">
        <v>294</v>
      </c>
      <c r="BL4" s="362" t="s">
        <v>294</v>
      </c>
      <c r="BM4" s="362" t="s">
        <v>294</v>
      </c>
      <c r="BN4" s="362" t="s">
        <v>294</v>
      </c>
      <c r="BO4" s="362" t="s">
        <v>294</v>
      </c>
      <c r="BP4" s="362" t="s">
        <v>294</v>
      </c>
      <c r="BQ4" s="362" t="s">
        <v>294</v>
      </c>
      <c r="BR4" s="362" t="s">
        <v>294</v>
      </c>
      <c r="BS4" s="362" t="s">
        <v>294</v>
      </c>
      <c r="BT4" s="362" t="s">
        <v>294</v>
      </c>
      <c r="BU4" s="362" t="s">
        <v>294</v>
      </c>
      <c r="BV4" s="362" t="s">
        <v>294</v>
      </c>
      <c r="BW4" s="362" t="s">
        <v>294</v>
      </c>
      <c r="BX4" s="362" t="s">
        <v>294</v>
      </c>
      <c r="BY4" s="362" t="s">
        <v>294</v>
      </c>
      <c r="BZ4" s="362" t="s">
        <v>294</v>
      </c>
      <c r="CA4" s="362">
        <v>2.2999999999999998</v>
      </c>
      <c r="CB4" s="362">
        <v>0.69</v>
      </c>
      <c r="CC4" s="362" t="s">
        <v>294</v>
      </c>
      <c r="CD4" s="362">
        <v>0.02</v>
      </c>
      <c r="CE4" s="362" t="s">
        <v>254</v>
      </c>
      <c r="CF4" s="362">
        <v>2.1</v>
      </c>
      <c r="CG4" s="362" t="s">
        <v>294</v>
      </c>
      <c r="CH4" s="362" t="s">
        <v>294</v>
      </c>
      <c r="CI4" s="362">
        <v>63</v>
      </c>
      <c r="CJ4" s="362" t="s">
        <v>254</v>
      </c>
      <c r="CK4" s="362" t="s">
        <v>294</v>
      </c>
      <c r="CL4" s="362">
        <v>1000</v>
      </c>
      <c r="CM4" s="362" t="s">
        <v>294</v>
      </c>
      <c r="CN4" s="362" t="s">
        <v>288</v>
      </c>
      <c r="CO4" s="362">
        <v>9.1</v>
      </c>
      <c r="CP4" s="362">
        <v>4.7</v>
      </c>
      <c r="CQ4" s="362" t="s">
        <v>254</v>
      </c>
      <c r="CR4" s="362" t="s">
        <v>254</v>
      </c>
      <c r="CS4" s="362" t="s">
        <v>294</v>
      </c>
      <c r="CT4" s="362" t="s">
        <v>284</v>
      </c>
      <c r="CU4" s="362" t="s">
        <v>294</v>
      </c>
      <c r="CV4" s="362" t="s">
        <v>294</v>
      </c>
      <c r="CW4" s="362" t="s">
        <v>294</v>
      </c>
      <c r="CX4" s="362" t="s">
        <v>294</v>
      </c>
      <c r="CY4" s="362" t="s">
        <v>294</v>
      </c>
      <c r="CZ4" s="362" t="s">
        <v>294</v>
      </c>
      <c r="DA4" s="362" t="s">
        <v>294</v>
      </c>
      <c r="DB4" s="362" t="s">
        <v>294</v>
      </c>
      <c r="DC4" s="362" t="s">
        <v>294</v>
      </c>
      <c r="DD4" s="362" t="s">
        <v>294</v>
      </c>
      <c r="DE4" s="362" t="s">
        <v>294</v>
      </c>
      <c r="DF4" s="362" t="s">
        <v>294</v>
      </c>
      <c r="DG4" s="362" t="s">
        <v>294</v>
      </c>
      <c r="DH4" s="362" t="s">
        <v>294</v>
      </c>
      <c r="DI4" s="362" t="s">
        <v>294</v>
      </c>
      <c r="DJ4" s="362" t="s">
        <v>294</v>
      </c>
      <c r="DK4" s="362" t="s">
        <v>294</v>
      </c>
      <c r="DL4" s="362" t="s">
        <v>294</v>
      </c>
      <c r="DM4" s="362" t="s">
        <v>294</v>
      </c>
      <c r="DN4" s="362" t="s">
        <v>294</v>
      </c>
      <c r="DO4" s="362" t="s">
        <v>294</v>
      </c>
      <c r="DP4" s="362" t="s">
        <v>294</v>
      </c>
      <c r="DQ4" s="362" t="s">
        <v>294</v>
      </c>
    </row>
    <row r="5" spans="1:121" x14ac:dyDescent="0.25">
      <c r="A5" s="362" t="s">
        <v>295</v>
      </c>
      <c r="B5" s="56" t="str">
        <f>VLOOKUP(Table3[[#This Row],[Station]], StationName, 2, FALSE)</f>
        <v>L03-662-3 (L03P16)</v>
      </c>
      <c r="C5" s="362">
        <v>1717002</v>
      </c>
      <c r="D5" s="221">
        <v>44341.39166666667</v>
      </c>
      <c r="E5" s="362" t="s">
        <v>283</v>
      </c>
      <c r="F5" s="362">
        <v>72</v>
      </c>
      <c r="G5" s="362">
        <v>90</v>
      </c>
      <c r="H5" s="362">
        <v>106</v>
      </c>
      <c r="I5" s="362">
        <v>89</v>
      </c>
      <c r="J5" s="362">
        <v>60</v>
      </c>
      <c r="K5" s="362">
        <v>60</v>
      </c>
      <c r="L5" s="362">
        <v>76</v>
      </c>
      <c r="M5" s="362">
        <v>71</v>
      </c>
      <c r="N5" s="362">
        <v>51</v>
      </c>
      <c r="O5" s="362" t="s">
        <v>259</v>
      </c>
      <c r="P5" s="362" t="s">
        <v>259</v>
      </c>
      <c r="Q5" s="362" t="s">
        <v>259</v>
      </c>
      <c r="R5" s="362" t="s">
        <v>259</v>
      </c>
      <c r="S5" s="362" t="s">
        <v>259</v>
      </c>
      <c r="T5" s="362" t="s">
        <v>259</v>
      </c>
      <c r="U5" s="362" t="s">
        <v>256</v>
      </c>
      <c r="V5" s="362" t="s">
        <v>256</v>
      </c>
      <c r="W5" s="362" t="s">
        <v>256</v>
      </c>
      <c r="X5" s="362" t="s">
        <v>256</v>
      </c>
      <c r="Y5" s="362" t="s">
        <v>284</v>
      </c>
      <c r="Z5" s="362" t="s">
        <v>256</v>
      </c>
      <c r="AA5" s="362" t="s">
        <v>256</v>
      </c>
      <c r="AB5" s="362" t="s">
        <v>256</v>
      </c>
      <c r="AC5" s="362" t="s">
        <v>256</v>
      </c>
      <c r="AD5" s="362" t="s">
        <v>256</v>
      </c>
      <c r="AE5" s="362" t="s">
        <v>256</v>
      </c>
      <c r="AF5" s="362" t="s">
        <v>256</v>
      </c>
      <c r="AG5" s="362" t="s">
        <v>256</v>
      </c>
      <c r="AH5" s="362" t="s">
        <v>256</v>
      </c>
      <c r="AI5" s="362" t="s">
        <v>256</v>
      </c>
      <c r="AJ5" s="362" t="s">
        <v>248</v>
      </c>
      <c r="AK5" s="362" t="s">
        <v>259</v>
      </c>
      <c r="AL5" s="362" t="s">
        <v>259</v>
      </c>
      <c r="AM5" s="362" t="s">
        <v>251</v>
      </c>
      <c r="AN5" s="362" t="s">
        <v>256</v>
      </c>
      <c r="AO5" s="362" t="s">
        <v>259</v>
      </c>
      <c r="AP5" s="362" t="s">
        <v>251</v>
      </c>
      <c r="AQ5" s="362" t="s">
        <v>256</v>
      </c>
      <c r="AR5" s="362" t="s">
        <v>256</v>
      </c>
      <c r="AS5" s="362" t="s">
        <v>285</v>
      </c>
      <c r="AT5" s="362" t="s">
        <v>259</v>
      </c>
      <c r="AU5" s="362" t="s">
        <v>284</v>
      </c>
      <c r="AV5" s="362" t="s">
        <v>259</v>
      </c>
      <c r="AW5" s="362" t="s">
        <v>256</v>
      </c>
      <c r="AX5" s="362" t="s">
        <v>256</v>
      </c>
      <c r="AY5" s="362" t="s">
        <v>256</v>
      </c>
      <c r="AZ5" s="362" t="s">
        <v>256</v>
      </c>
      <c r="BA5" s="362" t="s">
        <v>256</v>
      </c>
      <c r="BB5" s="362" t="s">
        <v>259</v>
      </c>
      <c r="BC5" s="362" t="s">
        <v>286</v>
      </c>
      <c r="BD5" s="362" t="s">
        <v>248</v>
      </c>
      <c r="BE5" s="362" t="s">
        <v>259</v>
      </c>
      <c r="BF5" s="362" t="s">
        <v>248</v>
      </c>
      <c r="BG5" s="362" t="s">
        <v>256</v>
      </c>
      <c r="BH5" s="362" t="s">
        <v>256</v>
      </c>
      <c r="BI5" s="362" t="s">
        <v>256</v>
      </c>
      <c r="BJ5" s="362" t="s">
        <v>256</v>
      </c>
      <c r="BK5" s="362" t="s">
        <v>256</v>
      </c>
      <c r="BL5" s="362" t="s">
        <v>256</v>
      </c>
      <c r="BM5" s="362" t="s">
        <v>259</v>
      </c>
      <c r="BN5" s="362" t="s">
        <v>256</v>
      </c>
      <c r="BO5" s="362" t="s">
        <v>259</v>
      </c>
      <c r="BP5" s="362" t="s">
        <v>284</v>
      </c>
      <c r="BQ5" s="362" t="s">
        <v>256</v>
      </c>
      <c r="BR5" s="362" t="s">
        <v>256</v>
      </c>
      <c r="BS5" s="362">
        <v>1.27</v>
      </c>
      <c r="BT5" s="362" t="s">
        <v>284</v>
      </c>
      <c r="BU5" s="362">
        <v>1.59</v>
      </c>
      <c r="BV5" s="362" t="s">
        <v>248</v>
      </c>
      <c r="BW5" s="362" t="s">
        <v>285</v>
      </c>
      <c r="BX5" s="362" t="s">
        <v>287</v>
      </c>
      <c r="BY5" s="362" t="s">
        <v>259</v>
      </c>
      <c r="BZ5" s="362" t="s">
        <v>259</v>
      </c>
      <c r="CA5" s="362">
        <v>3.6</v>
      </c>
      <c r="CB5" s="362">
        <v>0.23</v>
      </c>
      <c r="CC5" s="362">
        <v>159</v>
      </c>
      <c r="CD5" s="362" t="s">
        <v>230</v>
      </c>
      <c r="CE5" s="362">
        <v>0.24</v>
      </c>
      <c r="CF5" s="362">
        <v>9.6</v>
      </c>
      <c r="CG5" s="362">
        <v>7.4</v>
      </c>
      <c r="CH5" s="362">
        <v>612</v>
      </c>
      <c r="CI5" s="362">
        <v>130</v>
      </c>
      <c r="CJ5" s="362" t="s">
        <v>254</v>
      </c>
      <c r="CK5" s="362">
        <v>52.1</v>
      </c>
      <c r="CL5" s="362">
        <v>46</v>
      </c>
      <c r="CM5" s="362">
        <v>6.8000000000000005E-2</v>
      </c>
      <c r="CN5" s="362" t="s">
        <v>288</v>
      </c>
      <c r="CO5" s="362">
        <v>4.5999999999999996</v>
      </c>
      <c r="CP5" s="362">
        <v>1.8</v>
      </c>
      <c r="CQ5" s="362" t="s">
        <v>254</v>
      </c>
      <c r="CR5" s="362" t="s">
        <v>254</v>
      </c>
      <c r="CS5" s="362">
        <v>7.5</v>
      </c>
      <c r="CT5" s="362" t="s">
        <v>284</v>
      </c>
      <c r="CU5" s="362">
        <v>0.45</v>
      </c>
      <c r="CV5" s="362">
        <v>250</v>
      </c>
      <c r="CW5" s="362">
        <v>2.8</v>
      </c>
      <c r="CX5" s="362">
        <v>1.4</v>
      </c>
      <c r="CY5" s="362">
        <v>0.2</v>
      </c>
      <c r="CZ5" s="362">
        <v>8.26</v>
      </c>
      <c r="DA5" s="362">
        <v>1.2</v>
      </c>
      <c r="DB5" s="362">
        <v>2500</v>
      </c>
      <c r="DC5" s="362">
        <v>520</v>
      </c>
      <c r="DD5" s="362">
        <v>22.6</v>
      </c>
      <c r="DE5" s="362">
        <v>1400</v>
      </c>
      <c r="DF5" s="362" t="s">
        <v>296</v>
      </c>
      <c r="DG5" s="362">
        <v>3.5</v>
      </c>
      <c r="DH5" s="362">
        <v>1.4</v>
      </c>
      <c r="DI5" s="362">
        <v>4500</v>
      </c>
      <c r="DJ5" s="362">
        <v>2700</v>
      </c>
      <c r="DK5" s="362">
        <v>2400</v>
      </c>
      <c r="DL5" s="362" t="s">
        <v>297</v>
      </c>
      <c r="DM5" s="362">
        <v>8.24</v>
      </c>
      <c r="DN5" s="362">
        <v>8.09</v>
      </c>
      <c r="DO5" s="362">
        <v>2142.8000000000002</v>
      </c>
      <c r="DP5" s="362">
        <v>20.56</v>
      </c>
      <c r="DQ5" s="362">
        <v>1.22</v>
      </c>
    </row>
    <row r="6" spans="1:121" hidden="1" x14ac:dyDescent="0.25">
      <c r="A6" s="362" t="s">
        <v>295</v>
      </c>
      <c r="B6" s="56" t="str">
        <f>VLOOKUP(Table3[[#This Row],[Station]], StationName, 2, FALSE)</f>
        <v>L03-662-3 (L03P16)</v>
      </c>
      <c r="C6" s="362">
        <v>1717006</v>
      </c>
      <c r="D6" s="221">
        <v>44341.39166666667</v>
      </c>
      <c r="E6" s="362" t="s">
        <v>293</v>
      </c>
      <c r="F6" s="362" t="s">
        <v>294</v>
      </c>
      <c r="G6" s="362" t="s">
        <v>294</v>
      </c>
      <c r="H6" s="362" t="s">
        <v>294</v>
      </c>
      <c r="I6" s="362" t="s">
        <v>294</v>
      </c>
      <c r="J6" s="362" t="s">
        <v>294</v>
      </c>
      <c r="K6" s="362" t="s">
        <v>294</v>
      </c>
      <c r="L6" s="362" t="s">
        <v>294</v>
      </c>
      <c r="M6" s="362" t="s">
        <v>294</v>
      </c>
      <c r="N6" s="362" t="s">
        <v>294</v>
      </c>
      <c r="O6" s="362" t="s">
        <v>294</v>
      </c>
      <c r="P6" s="362" t="s">
        <v>294</v>
      </c>
      <c r="Q6" s="362" t="s">
        <v>294</v>
      </c>
      <c r="R6" s="362" t="s">
        <v>294</v>
      </c>
      <c r="S6" s="362" t="s">
        <v>294</v>
      </c>
      <c r="T6" s="362" t="s">
        <v>294</v>
      </c>
      <c r="U6" s="362" t="s">
        <v>294</v>
      </c>
      <c r="V6" s="362" t="s">
        <v>294</v>
      </c>
      <c r="W6" s="362" t="s">
        <v>294</v>
      </c>
      <c r="X6" s="362" t="s">
        <v>294</v>
      </c>
      <c r="Y6" s="362" t="s">
        <v>294</v>
      </c>
      <c r="Z6" s="362" t="s">
        <v>294</v>
      </c>
      <c r="AA6" s="362" t="s">
        <v>294</v>
      </c>
      <c r="AB6" s="362" t="s">
        <v>294</v>
      </c>
      <c r="AC6" s="362" t="s">
        <v>294</v>
      </c>
      <c r="AD6" s="362" t="s">
        <v>294</v>
      </c>
      <c r="AE6" s="362" t="s">
        <v>294</v>
      </c>
      <c r="AF6" s="362" t="s">
        <v>294</v>
      </c>
      <c r="AG6" s="362" t="s">
        <v>294</v>
      </c>
      <c r="AH6" s="362" t="s">
        <v>294</v>
      </c>
      <c r="AI6" s="362" t="s">
        <v>294</v>
      </c>
      <c r="AJ6" s="362" t="s">
        <v>294</v>
      </c>
      <c r="AK6" s="362" t="s">
        <v>294</v>
      </c>
      <c r="AL6" s="362" t="s">
        <v>294</v>
      </c>
      <c r="AM6" s="362" t="s">
        <v>294</v>
      </c>
      <c r="AN6" s="362" t="s">
        <v>294</v>
      </c>
      <c r="AO6" s="362" t="s">
        <v>294</v>
      </c>
      <c r="AP6" s="362" t="s">
        <v>294</v>
      </c>
      <c r="AQ6" s="362" t="s">
        <v>294</v>
      </c>
      <c r="AR6" s="362" t="s">
        <v>294</v>
      </c>
      <c r="AS6" s="362" t="s">
        <v>294</v>
      </c>
      <c r="AT6" s="362" t="s">
        <v>294</v>
      </c>
      <c r="AU6" s="362" t="s">
        <v>294</v>
      </c>
      <c r="AV6" s="362" t="s">
        <v>294</v>
      </c>
      <c r="AW6" s="362" t="s">
        <v>294</v>
      </c>
      <c r="AX6" s="362" t="s">
        <v>294</v>
      </c>
      <c r="AY6" s="362" t="s">
        <v>294</v>
      </c>
      <c r="AZ6" s="362" t="s">
        <v>294</v>
      </c>
      <c r="BA6" s="362" t="s">
        <v>294</v>
      </c>
      <c r="BB6" s="362" t="s">
        <v>294</v>
      </c>
      <c r="BC6" s="362" t="s">
        <v>294</v>
      </c>
      <c r="BD6" s="362" t="s">
        <v>294</v>
      </c>
      <c r="BE6" s="362" t="s">
        <v>294</v>
      </c>
      <c r="BF6" s="362" t="s">
        <v>294</v>
      </c>
      <c r="BG6" s="362" t="s">
        <v>294</v>
      </c>
      <c r="BH6" s="362" t="s">
        <v>294</v>
      </c>
      <c r="BI6" s="362" t="s">
        <v>294</v>
      </c>
      <c r="BJ6" s="362" t="s">
        <v>294</v>
      </c>
      <c r="BK6" s="362" t="s">
        <v>294</v>
      </c>
      <c r="BL6" s="362" t="s">
        <v>294</v>
      </c>
      <c r="BM6" s="362" t="s">
        <v>294</v>
      </c>
      <c r="BN6" s="362" t="s">
        <v>294</v>
      </c>
      <c r="BO6" s="362" t="s">
        <v>294</v>
      </c>
      <c r="BP6" s="362" t="s">
        <v>294</v>
      </c>
      <c r="BQ6" s="362" t="s">
        <v>294</v>
      </c>
      <c r="BR6" s="362" t="s">
        <v>294</v>
      </c>
      <c r="BS6" s="362" t="s">
        <v>294</v>
      </c>
      <c r="BT6" s="362" t="s">
        <v>294</v>
      </c>
      <c r="BU6" s="362" t="s">
        <v>294</v>
      </c>
      <c r="BV6" s="362" t="s">
        <v>294</v>
      </c>
      <c r="BW6" s="362" t="s">
        <v>294</v>
      </c>
      <c r="BX6" s="362" t="s">
        <v>294</v>
      </c>
      <c r="BY6" s="362" t="s">
        <v>294</v>
      </c>
      <c r="BZ6" s="362" t="s">
        <v>294</v>
      </c>
      <c r="CA6" s="362">
        <v>3.5</v>
      </c>
      <c r="CB6" s="362">
        <v>0.23</v>
      </c>
      <c r="CC6" s="362" t="s">
        <v>294</v>
      </c>
      <c r="CD6" s="362">
        <v>2.3E-2</v>
      </c>
      <c r="CE6" s="362" t="s">
        <v>254</v>
      </c>
      <c r="CF6" s="362">
        <v>8.4</v>
      </c>
      <c r="CG6" s="362" t="s">
        <v>294</v>
      </c>
      <c r="CH6" s="362" t="s">
        <v>294</v>
      </c>
      <c r="CI6" s="362">
        <v>55</v>
      </c>
      <c r="CJ6" s="362" t="s">
        <v>254</v>
      </c>
      <c r="CK6" s="362" t="s">
        <v>294</v>
      </c>
      <c r="CL6" s="362">
        <v>38</v>
      </c>
      <c r="CM6" s="362" t="s">
        <v>294</v>
      </c>
      <c r="CN6" s="362" t="s">
        <v>288</v>
      </c>
      <c r="CO6" s="362">
        <v>4.4000000000000004</v>
      </c>
      <c r="CP6" s="362">
        <v>1.6</v>
      </c>
      <c r="CQ6" s="362" t="s">
        <v>254</v>
      </c>
      <c r="CR6" s="362" t="s">
        <v>254</v>
      </c>
      <c r="CS6" s="362" t="s">
        <v>294</v>
      </c>
      <c r="CT6" s="362" t="s">
        <v>284</v>
      </c>
      <c r="CU6" s="362" t="s">
        <v>294</v>
      </c>
      <c r="CV6" s="362" t="s">
        <v>294</v>
      </c>
      <c r="CW6" s="362" t="s">
        <v>294</v>
      </c>
      <c r="CX6" s="362" t="s">
        <v>294</v>
      </c>
      <c r="CY6" s="362" t="s">
        <v>294</v>
      </c>
      <c r="CZ6" s="362" t="s">
        <v>294</v>
      </c>
      <c r="DA6" s="362" t="s">
        <v>294</v>
      </c>
      <c r="DB6" s="362" t="s">
        <v>294</v>
      </c>
      <c r="DC6" s="362" t="s">
        <v>294</v>
      </c>
      <c r="DD6" s="362" t="s">
        <v>294</v>
      </c>
      <c r="DE6" s="362" t="s">
        <v>294</v>
      </c>
      <c r="DF6" s="362" t="s">
        <v>294</v>
      </c>
      <c r="DG6" s="362" t="s">
        <v>294</v>
      </c>
      <c r="DH6" s="362" t="s">
        <v>294</v>
      </c>
      <c r="DI6" s="362" t="s">
        <v>294</v>
      </c>
      <c r="DJ6" s="362" t="s">
        <v>294</v>
      </c>
      <c r="DK6" s="362" t="s">
        <v>294</v>
      </c>
      <c r="DL6" s="362" t="s">
        <v>294</v>
      </c>
      <c r="DM6" s="362" t="s">
        <v>294</v>
      </c>
      <c r="DN6" s="362" t="s">
        <v>294</v>
      </c>
      <c r="DO6" s="362" t="s">
        <v>294</v>
      </c>
      <c r="DP6" s="362" t="s">
        <v>294</v>
      </c>
      <c r="DQ6" s="362" t="s">
        <v>294</v>
      </c>
    </row>
    <row r="7" spans="1:121" x14ac:dyDescent="0.25">
      <c r="A7" s="362" t="s">
        <v>298</v>
      </c>
      <c r="B7" s="56" t="str">
        <f>VLOOKUP(Table3[[#This Row],[Station]], StationName, 2, FALSE)</f>
        <v>L04-136-1u (L04P07)</v>
      </c>
      <c r="C7" s="362">
        <v>1718001</v>
      </c>
      <c r="D7" s="221">
        <v>44341.418055555558</v>
      </c>
      <c r="E7" s="362" t="s">
        <v>283</v>
      </c>
      <c r="F7" s="362">
        <v>73</v>
      </c>
      <c r="G7" s="362">
        <v>92</v>
      </c>
      <c r="H7" s="362">
        <v>106</v>
      </c>
      <c r="I7" s="362">
        <v>93</v>
      </c>
      <c r="J7" s="362">
        <v>61</v>
      </c>
      <c r="K7" s="362">
        <v>64</v>
      </c>
      <c r="L7" s="362">
        <v>84</v>
      </c>
      <c r="M7" s="362">
        <v>79</v>
      </c>
      <c r="N7" s="362">
        <v>47</v>
      </c>
      <c r="O7" s="362" t="s">
        <v>259</v>
      </c>
      <c r="P7" s="362" t="s">
        <v>259</v>
      </c>
      <c r="Q7" s="362" t="s">
        <v>259</v>
      </c>
      <c r="R7" s="362" t="s">
        <v>259</v>
      </c>
      <c r="S7" s="362" t="s">
        <v>259</v>
      </c>
      <c r="T7" s="362" t="s">
        <v>259</v>
      </c>
      <c r="U7" s="362" t="s">
        <v>256</v>
      </c>
      <c r="V7" s="362" t="s">
        <v>256</v>
      </c>
      <c r="W7" s="362" t="s">
        <v>256</v>
      </c>
      <c r="X7" s="362" t="s">
        <v>256</v>
      </c>
      <c r="Y7" s="362" t="s">
        <v>284</v>
      </c>
      <c r="Z7" s="362" t="s">
        <v>256</v>
      </c>
      <c r="AA7" s="362" t="s">
        <v>256</v>
      </c>
      <c r="AB7" s="362" t="s">
        <v>256</v>
      </c>
      <c r="AC7" s="362" t="s">
        <v>256</v>
      </c>
      <c r="AD7" s="362" t="s">
        <v>256</v>
      </c>
      <c r="AE7" s="362" t="s">
        <v>256</v>
      </c>
      <c r="AF7" s="362" t="s">
        <v>256</v>
      </c>
      <c r="AG7" s="362" t="s">
        <v>256</v>
      </c>
      <c r="AH7" s="362" t="s">
        <v>256</v>
      </c>
      <c r="AI7" s="362" t="s">
        <v>256</v>
      </c>
      <c r="AJ7" s="362" t="s">
        <v>248</v>
      </c>
      <c r="AK7" s="362" t="s">
        <v>259</v>
      </c>
      <c r="AL7" s="362" t="s">
        <v>259</v>
      </c>
      <c r="AM7" s="362" t="s">
        <v>251</v>
      </c>
      <c r="AN7" s="362" t="s">
        <v>256</v>
      </c>
      <c r="AO7" s="362" t="s">
        <v>259</v>
      </c>
      <c r="AP7" s="362" t="s">
        <v>251</v>
      </c>
      <c r="AQ7" s="362" t="s">
        <v>256</v>
      </c>
      <c r="AR7" s="362" t="s">
        <v>256</v>
      </c>
      <c r="AS7" s="362" t="s">
        <v>285</v>
      </c>
      <c r="AT7" s="362" t="s">
        <v>259</v>
      </c>
      <c r="AU7" s="362" t="s">
        <v>284</v>
      </c>
      <c r="AV7" s="362" t="s">
        <v>259</v>
      </c>
      <c r="AW7" s="362" t="s">
        <v>256</v>
      </c>
      <c r="AX7" s="362" t="s">
        <v>256</v>
      </c>
      <c r="AY7" s="362" t="s">
        <v>256</v>
      </c>
      <c r="AZ7" s="362" t="s">
        <v>256</v>
      </c>
      <c r="BA7" s="362" t="s">
        <v>256</v>
      </c>
      <c r="BB7" s="362" t="s">
        <v>259</v>
      </c>
      <c r="BC7" s="362" t="s">
        <v>286</v>
      </c>
      <c r="BD7" s="362" t="s">
        <v>248</v>
      </c>
      <c r="BE7" s="362" t="s">
        <v>259</v>
      </c>
      <c r="BF7" s="362" t="s">
        <v>248</v>
      </c>
      <c r="BG7" s="362">
        <v>1.25</v>
      </c>
      <c r="BH7" s="362" t="s">
        <v>256</v>
      </c>
      <c r="BI7" s="362" t="s">
        <v>256</v>
      </c>
      <c r="BJ7" s="362" t="s">
        <v>256</v>
      </c>
      <c r="BK7" s="362" t="s">
        <v>256</v>
      </c>
      <c r="BL7" s="362" t="s">
        <v>256</v>
      </c>
      <c r="BM7" s="362" t="s">
        <v>259</v>
      </c>
      <c r="BN7" s="362" t="s">
        <v>256</v>
      </c>
      <c r="BO7" s="362" t="s">
        <v>259</v>
      </c>
      <c r="BP7" s="362" t="s">
        <v>284</v>
      </c>
      <c r="BQ7" s="362" t="s">
        <v>256</v>
      </c>
      <c r="BR7" s="362" t="s">
        <v>256</v>
      </c>
      <c r="BS7" s="362" t="s">
        <v>256</v>
      </c>
      <c r="BT7" s="362" t="s">
        <v>284</v>
      </c>
      <c r="BU7" s="362">
        <v>2.5299999999999998</v>
      </c>
      <c r="BV7" s="362" t="s">
        <v>248</v>
      </c>
      <c r="BW7" s="362" t="s">
        <v>285</v>
      </c>
      <c r="BX7" s="362" t="s">
        <v>287</v>
      </c>
      <c r="BY7" s="362" t="s">
        <v>259</v>
      </c>
      <c r="BZ7" s="362" t="s">
        <v>259</v>
      </c>
      <c r="CA7" s="362">
        <v>2.1</v>
      </c>
      <c r="CB7" s="362">
        <v>0.59</v>
      </c>
      <c r="CC7" s="362">
        <v>372</v>
      </c>
      <c r="CD7" s="362" t="s">
        <v>230</v>
      </c>
      <c r="CE7" s="362" t="s">
        <v>254</v>
      </c>
      <c r="CF7" s="362">
        <v>3</v>
      </c>
      <c r="CG7" s="362">
        <v>4.5999999999999996</v>
      </c>
      <c r="CH7" s="362">
        <v>1370</v>
      </c>
      <c r="CI7" s="362">
        <v>86</v>
      </c>
      <c r="CJ7" s="362" t="s">
        <v>254</v>
      </c>
      <c r="CK7" s="362">
        <v>108</v>
      </c>
      <c r="CL7" s="362">
        <v>140</v>
      </c>
      <c r="CM7" s="362" t="s">
        <v>288</v>
      </c>
      <c r="CN7" s="362" t="s">
        <v>288</v>
      </c>
      <c r="CO7" s="362">
        <v>4.4000000000000004</v>
      </c>
      <c r="CP7" s="362">
        <v>12</v>
      </c>
      <c r="CQ7" s="362" t="s">
        <v>254</v>
      </c>
      <c r="CR7" s="362" t="s">
        <v>254</v>
      </c>
      <c r="CS7" s="362">
        <v>5.9</v>
      </c>
      <c r="CT7" s="362" t="s">
        <v>284</v>
      </c>
      <c r="CU7" s="362">
        <v>0.17</v>
      </c>
      <c r="CV7" s="362">
        <v>530</v>
      </c>
      <c r="CW7" s="362">
        <v>1.1000000000000001</v>
      </c>
      <c r="CX7" s="362">
        <v>0.64</v>
      </c>
      <c r="CY7" s="362">
        <v>0.12</v>
      </c>
      <c r="CZ7" s="362">
        <v>8.0399999999999991</v>
      </c>
      <c r="DA7" s="362">
        <v>0.79</v>
      </c>
      <c r="DB7" s="362">
        <v>4200</v>
      </c>
      <c r="DC7" s="362">
        <v>970</v>
      </c>
      <c r="DD7" s="362">
        <v>22.6</v>
      </c>
      <c r="DE7" s="362">
        <v>2600</v>
      </c>
      <c r="DF7" s="362" t="s">
        <v>289</v>
      </c>
      <c r="DG7" s="362">
        <v>4.0999999999999996</v>
      </c>
      <c r="DH7" s="362">
        <v>0.82</v>
      </c>
      <c r="DI7" s="362">
        <v>510</v>
      </c>
      <c r="DJ7" s="362">
        <v>350</v>
      </c>
      <c r="DK7" s="362">
        <v>300</v>
      </c>
      <c r="DL7" s="362">
        <v>33000</v>
      </c>
      <c r="DM7" s="362">
        <v>7.41</v>
      </c>
      <c r="DN7" s="362">
        <v>7.71</v>
      </c>
      <c r="DO7" s="362">
        <v>5197</v>
      </c>
      <c r="DP7" s="362">
        <v>22.1</v>
      </c>
      <c r="DQ7" s="362">
        <v>1.24</v>
      </c>
    </row>
    <row r="8" spans="1:121" hidden="1" x14ac:dyDescent="0.25">
      <c r="A8" s="362" t="s">
        <v>298</v>
      </c>
      <c r="B8" s="56" t="str">
        <f>VLOOKUP(Table3[[#This Row],[Station]], StationName, 2, FALSE)</f>
        <v>L04-136-1u (L04P07)</v>
      </c>
      <c r="C8" s="362">
        <v>1718004</v>
      </c>
      <c r="D8" s="221">
        <v>44341.418055555558</v>
      </c>
      <c r="E8" s="362" t="s">
        <v>293</v>
      </c>
      <c r="F8" s="362" t="s">
        <v>294</v>
      </c>
      <c r="G8" s="362" t="s">
        <v>294</v>
      </c>
      <c r="H8" s="362" t="s">
        <v>294</v>
      </c>
      <c r="I8" s="362" t="s">
        <v>294</v>
      </c>
      <c r="J8" s="362" t="s">
        <v>294</v>
      </c>
      <c r="K8" s="362" t="s">
        <v>294</v>
      </c>
      <c r="L8" s="362" t="s">
        <v>294</v>
      </c>
      <c r="M8" s="362" t="s">
        <v>294</v>
      </c>
      <c r="N8" s="362" t="s">
        <v>294</v>
      </c>
      <c r="O8" s="362" t="s">
        <v>294</v>
      </c>
      <c r="P8" s="362" t="s">
        <v>294</v>
      </c>
      <c r="Q8" s="362" t="s">
        <v>294</v>
      </c>
      <c r="R8" s="362" t="s">
        <v>294</v>
      </c>
      <c r="S8" s="362" t="s">
        <v>294</v>
      </c>
      <c r="T8" s="362" t="s">
        <v>294</v>
      </c>
      <c r="U8" s="362" t="s">
        <v>294</v>
      </c>
      <c r="V8" s="362" t="s">
        <v>294</v>
      </c>
      <c r="W8" s="362" t="s">
        <v>294</v>
      </c>
      <c r="X8" s="362" t="s">
        <v>294</v>
      </c>
      <c r="Y8" s="362" t="s">
        <v>294</v>
      </c>
      <c r="Z8" s="362" t="s">
        <v>294</v>
      </c>
      <c r="AA8" s="362" t="s">
        <v>294</v>
      </c>
      <c r="AB8" s="362" t="s">
        <v>294</v>
      </c>
      <c r="AC8" s="362" t="s">
        <v>294</v>
      </c>
      <c r="AD8" s="362" t="s">
        <v>294</v>
      </c>
      <c r="AE8" s="362" t="s">
        <v>294</v>
      </c>
      <c r="AF8" s="362" t="s">
        <v>294</v>
      </c>
      <c r="AG8" s="362" t="s">
        <v>294</v>
      </c>
      <c r="AH8" s="362" t="s">
        <v>294</v>
      </c>
      <c r="AI8" s="362" t="s">
        <v>294</v>
      </c>
      <c r="AJ8" s="362" t="s">
        <v>294</v>
      </c>
      <c r="AK8" s="362" t="s">
        <v>294</v>
      </c>
      <c r="AL8" s="362" t="s">
        <v>294</v>
      </c>
      <c r="AM8" s="362" t="s">
        <v>294</v>
      </c>
      <c r="AN8" s="362" t="s">
        <v>294</v>
      </c>
      <c r="AO8" s="362" t="s">
        <v>294</v>
      </c>
      <c r="AP8" s="362" t="s">
        <v>294</v>
      </c>
      <c r="AQ8" s="362" t="s">
        <v>294</v>
      </c>
      <c r="AR8" s="362" t="s">
        <v>294</v>
      </c>
      <c r="AS8" s="362" t="s">
        <v>294</v>
      </c>
      <c r="AT8" s="362" t="s">
        <v>294</v>
      </c>
      <c r="AU8" s="362" t="s">
        <v>294</v>
      </c>
      <c r="AV8" s="362" t="s">
        <v>294</v>
      </c>
      <c r="AW8" s="362" t="s">
        <v>294</v>
      </c>
      <c r="AX8" s="362" t="s">
        <v>294</v>
      </c>
      <c r="AY8" s="362" t="s">
        <v>294</v>
      </c>
      <c r="AZ8" s="362" t="s">
        <v>294</v>
      </c>
      <c r="BA8" s="362" t="s">
        <v>294</v>
      </c>
      <c r="BB8" s="362" t="s">
        <v>294</v>
      </c>
      <c r="BC8" s="362" t="s">
        <v>294</v>
      </c>
      <c r="BD8" s="362" t="s">
        <v>294</v>
      </c>
      <c r="BE8" s="362" t="s">
        <v>294</v>
      </c>
      <c r="BF8" s="362" t="s">
        <v>294</v>
      </c>
      <c r="BG8" s="362" t="s">
        <v>294</v>
      </c>
      <c r="BH8" s="362" t="s">
        <v>294</v>
      </c>
      <c r="BI8" s="362" t="s">
        <v>294</v>
      </c>
      <c r="BJ8" s="362" t="s">
        <v>294</v>
      </c>
      <c r="BK8" s="362" t="s">
        <v>294</v>
      </c>
      <c r="BL8" s="362" t="s">
        <v>294</v>
      </c>
      <c r="BM8" s="362" t="s">
        <v>294</v>
      </c>
      <c r="BN8" s="362" t="s">
        <v>294</v>
      </c>
      <c r="BO8" s="362" t="s">
        <v>294</v>
      </c>
      <c r="BP8" s="362" t="s">
        <v>294</v>
      </c>
      <c r="BQ8" s="362" t="s">
        <v>294</v>
      </c>
      <c r="BR8" s="362" t="s">
        <v>294</v>
      </c>
      <c r="BS8" s="362" t="s">
        <v>294</v>
      </c>
      <c r="BT8" s="362" t="s">
        <v>294</v>
      </c>
      <c r="BU8" s="362" t="s">
        <v>294</v>
      </c>
      <c r="BV8" s="362" t="s">
        <v>294</v>
      </c>
      <c r="BW8" s="362" t="s">
        <v>294</v>
      </c>
      <c r="BX8" s="362" t="s">
        <v>294</v>
      </c>
      <c r="BY8" s="362" t="s">
        <v>294</v>
      </c>
      <c r="BZ8" s="362" t="s">
        <v>294</v>
      </c>
      <c r="CA8" s="362">
        <v>2</v>
      </c>
      <c r="CB8" s="362">
        <v>0.44</v>
      </c>
      <c r="CC8" s="362" t="s">
        <v>294</v>
      </c>
      <c r="CD8" s="362" t="s">
        <v>230</v>
      </c>
      <c r="CE8" s="362" t="s">
        <v>254</v>
      </c>
      <c r="CF8" s="362">
        <v>2.6</v>
      </c>
      <c r="CG8" s="362" t="s">
        <v>294</v>
      </c>
      <c r="CH8" s="362" t="s">
        <v>294</v>
      </c>
      <c r="CI8" s="362" t="s">
        <v>286</v>
      </c>
      <c r="CJ8" s="362" t="s">
        <v>254</v>
      </c>
      <c r="CK8" s="362" t="s">
        <v>294</v>
      </c>
      <c r="CL8" s="362">
        <v>130</v>
      </c>
      <c r="CM8" s="362" t="s">
        <v>294</v>
      </c>
      <c r="CN8" s="362" t="s">
        <v>288</v>
      </c>
      <c r="CO8" s="362">
        <v>4.3</v>
      </c>
      <c r="CP8" s="362">
        <v>12</v>
      </c>
      <c r="CQ8" s="362" t="s">
        <v>254</v>
      </c>
      <c r="CR8" s="362" t="s">
        <v>254</v>
      </c>
      <c r="CS8" s="362" t="s">
        <v>294</v>
      </c>
      <c r="CT8" s="362" t="s">
        <v>284</v>
      </c>
      <c r="CU8" s="362" t="s">
        <v>294</v>
      </c>
      <c r="CV8" s="362" t="s">
        <v>294</v>
      </c>
      <c r="CW8" s="362" t="s">
        <v>294</v>
      </c>
      <c r="CX8" s="362" t="s">
        <v>294</v>
      </c>
      <c r="CY8" s="362" t="s">
        <v>294</v>
      </c>
      <c r="CZ8" s="362" t="s">
        <v>294</v>
      </c>
      <c r="DA8" s="362" t="s">
        <v>294</v>
      </c>
      <c r="DB8" s="362" t="s">
        <v>294</v>
      </c>
      <c r="DC8" s="362" t="s">
        <v>294</v>
      </c>
      <c r="DD8" s="362" t="s">
        <v>294</v>
      </c>
      <c r="DE8" s="362" t="s">
        <v>294</v>
      </c>
      <c r="DF8" s="362" t="s">
        <v>294</v>
      </c>
      <c r="DG8" s="362" t="s">
        <v>294</v>
      </c>
      <c r="DH8" s="362" t="s">
        <v>294</v>
      </c>
      <c r="DI8" s="362" t="s">
        <v>294</v>
      </c>
      <c r="DJ8" s="362" t="s">
        <v>294</v>
      </c>
      <c r="DK8" s="362" t="s">
        <v>294</v>
      </c>
      <c r="DL8" s="362" t="s">
        <v>294</v>
      </c>
      <c r="DM8" s="362" t="s">
        <v>294</v>
      </c>
      <c r="DN8" s="362" t="s">
        <v>294</v>
      </c>
      <c r="DO8" s="362" t="s">
        <v>294</v>
      </c>
      <c r="DP8" s="362" t="s">
        <v>294</v>
      </c>
      <c r="DQ8" s="362" t="s">
        <v>294</v>
      </c>
    </row>
    <row r="9" spans="1:121" x14ac:dyDescent="0.25">
      <c r="A9" s="362" t="s">
        <v>299</v>
      </c>
      <c r="B9" s="56" t="str">
        <f>VLOOKUP(Table3[[#This Row],[Station]], StationName, 2, FALSE)</f>
        <v>L03-214-2 (L03P18)</v>
      </c>
      <c r="C9" s="362">
        <v>1717003</v>
      </c>
      <c r="D9" s="221">
        <v>44341.42291666667</v>
      </c>
      <c r="E9" s="362" t="s">
        <v>283</v>
      </c>
      <c r="F9" s="362">
        <v>82</v>
      </c>
      <c r="G9" s="362">
        <v>95</v>
      </c>
      <c r="H9" s="362">
        <v>111</v>
      </c>
      <c r="I9" s="362">
        <v>96</v>
      </c>
      <c r="J9" s="362">
        <v>71</v>
      </c>
      <c r="K9" s="362">
        <v>61</v>
      </c>
      <c r="L9" s="362">
        <v>79</v>
      </c>
      <c r="M9" s="362">
        <v>78</v>
      </c>
      <c r="N9" s="362">
        <v>48</v>
      </c>
      <c r="O9" s="362" t="s">
        <v>259</v>
      </c>
      <c r="P9" s="362" t="s">
        <v>259</v>
      </c>
      <c r="Q9" s="362" t="s">
        <v>259</v>
      </c>
      <c r="R9" s="362" t="s">
        <v>259</v>
      </c>
      <c r="S9" s="362" t="s">
        <v>259</v>
      </c>
      <c r="T9" s="362" t="s">
        <v>259</v>
      </c>
      <c r="U9" s="362" t="s">
        <v>256</v>
      </c>
      <c r="V9" s="362" t="s">
        <v>256</v>
      </c>
      <c r="W9" s="362" t="s">
        <v>256</v>
      </c>
      <c r="X9" s="362" t="s">
        <v>256</v>
      </c>
      <c r="Y9" s="362" t="s">
        <v>284</v>
      </c>
      <c r="Z9" s="362" t="s">
        <v>256</v>
      </c>
      <c r="AA9" s="362" t="s">
        <v>256</v>
      </c>
      <c r="AB9" s="362" t="s">
        <v>256</v>
      </c>
      <c r="AC9" s="362" t="s">
        <v>256</v>
      </c>
      <c r="AD9" s="362" t="s">
        <v>256</v>
      </c>
      <c r="AE9" s="362" t="s">
        <v>256</v>
      </c>
      <c r="AF9" s="362" t="s">
        <v>256</v>
      </c>
      <c r="AG9" s="362" t="s">
        <v>256</v>
      </c>
      <c r="AH9" s="362" t="s">
        <v>256</v>
      </c>
      <c r="AI9" s="362" t="s">
        <v>256</v>
      </c>
      <c r="AJ9" s="362" t="s">
        <v>248</v>
      </c>
      <c r="AK9" s="362" t="s">
        <v>259</v>
      </c>
      <c r="AL9" s="362" t="s">
        <v>259</v>
      </c>
      <c r="AM9" s="362" t="s">
        <v>251</v>
      </c>
      <c r="AN9" s="362" t="s">
        <v>256</v>
      </c>
      <c r="AO9" s="362" t="s">
        <v>259</v>
      </c>
      <c r="AP9" s="362" t="s">
        <v>251</v>
      </c>
      <c r="AQ9" s="362" t="s">
        <v>256</v>
      </c>
      <c r="AR9" s="362" t="s">
        <v>256</v>
      </c>
      <c r="AS9" s="362" t="s">
        <v>285</v>
      </c>
      <c r="AT9" s="362" t="s">
        <v>259</v>
      </c>
      <c r="AU9" s="362" t="s">
        <v>284</v>
      </c>
      <c r="AV9" s="362" t="s">
        <v>259</v>
      </c>
      <c r="AW9" s="362" t="s">
        <v>256</v>
      </c>
      <c r="AX9" s="362" t="s">
        <v>256</v>
      </c>
      <c r="AY9" s="362" t="s">
        <v>256</v>
      </c>
      <c r="AZ9" s="362" t="s">
        <v>256</v>
      </c>
      <c r="BA9" s="362" t="s">
        <v>256</v>
      </c>
      <c r="BB9" s="362" t="s">
        <v>259</v>
      </c>
      <c r="BC9" s="362" t="s">
        <v>286</v>
      </c>
      <c r="BD9" s="362" t="s">
        <v>248</v>
      </c>
      <c r="BE9" s="362" t="s">
        <v>259</v>
      </c>
      <c r="BF9" s="362" t="s">
        <v>248</v>
      </c>
      <c r="BG9" s="362" t="s">
        <v>256</v>
      </c>
      <c r="BH9" s="362" t="s">
        <v>256</v>
      </c>
      <c r="BI9" s="362" t="s">
        <v>256</v>
      </c>
      <c r="BJ9" s="362" t="s">
        <v>256</v>
      </c>
      <c r="BK9" s="362" t="s">
        <v>256</v>
      </c>
      <c r="BL9" s="362" t="s">
        <v>256</v>
      </c>
      <c r="BM9" s="362" t="s">
        <v>259</v>
      </c>
      <c r="BN9" s="362" t="s">
        <v>256</v>
      </c>
      <c r="BO9" s="362" t="s">
        <v>259</v>
      </c>
      <c r="BP9" s="362" t="s">
        <v>284</v>
      </c>
      <c r="BQ9" s="362" t="s">
        <v>256</v>
      </c>
      <c r="BR9" s="362" t="s">
        <v>256</v>
      </c>
      <c r="BS9" s="362" t="s">
        <v>256</v>
      </c>
      <c r="BT9" s="362" t="s">
        <v>284</v>
      </c>
      <c r="BU9" s="362">
        <v>1.0900000000000001</v>
      </c>
      <c r="BV9" s="362" t="s">
        <v>248</v>
      </c>
      <c r="BW9" s="362" t="s">
        <v>285</v>
      </c>
      <c r="BX9" s="362" t="s">
        <v>287</v>
      </c>
      <c r="BY9" s="362" t="s">
        <v>259</v>
      </c>
      <c r="BZ9" s="362" t="s">
        <v>259</v>
      </c>
      <c r="CA9" s="362">
        <v>11</v>
      </c>
      <c r="CB9" s="362">
        <v>35</v>
      </c>
      <c r="CC9" s="362">
        <v>365</v>
      </c>
      <c r="CD9" s="362">
        <v>0.06</v>
      </c>
      <c r="CE9" s="362">
        <v>0.41</v>
      </c>
      <c r="CF9" s="362">
        <v>6.6</v>
      </c>
      <c r="CG9" s="362">
        <v>8.1999999999999993</v>
      </c>
      <c r="CH9" s="362">
        <v>1300</v>
      </c>
      <c r="CI9" s="362" t="s">
        <v>286</v>
      </c>
      <c r="CJ9" s="362" t="s">
        <v>254</v>
      </c>
      <c r="CK9" s="362">
        <v>93.7</v>
      </c>
      <c r="CL9" s="362">
        <v>78</v>
      </c>
      <c r="CM9" s="362">
        <v>8.3000000000000004E-2</v>
      </c>
      <c r="CN9" s="362" t="s">
        <v>288</v>
      </c>
      <c r="CO9" s="362">
        <v>87</v>
      </c>
      <c r="CP9" s="362">
        <v>49</v>
      </c>
      <c r="CQ9" s="362" t="s">
        <v>254</v>
      </c>
      <c r="CR9" s="362" t="s">
        <v>254</v>
      </c>
      <c r="CS9" s="362">
        <v>9.1</v>
      </c>
      <c r="CT9" s="362">
        <v>26</v>
      </c>
      <c r="CU9" s="362">
        <v>0.15</v>
      </c>
      <c r="CV9" s="362">
        <v>300</v>
      </c>
      <c r="CW9" s="362">
        <v>2.8</v>
      </c>
      <c r="CX9" s="362">
        <v>1.8</v>
      </c>
      <c r="CY9" s="362">
        <v>0.25</v>
      </c>
      <c r="CZ9" s="362">
        <v>8.1999999999999993</v>
      </c>
      <c r="DA9" s="362">
        <v>1.3</v>
      </c>
      <c r="DB9" s="362">
        <v>3600</v>
      </c>
      <c r="DC9" s="362">
        <v>1100</v>
      </c>
      <c r="DD9" s="362">
        <v>22.8</v>
      </c>
      <c r="DE9" s="362">
        <v>2300</v>
      </c>
      <c r="DF9" s="362" t="s">
        <v>296</v>
      </c>
      <c r="DG9" s="362">
        <v>3.9</v>
      </c>
      <c r="DH9" s="362">
        <v>1.1000000000000001</v>
      </c>
      <c r="DI9" s="362">
        <v>2700</v>
      </c>
      <c r="DJ9" s="362" t="s">
        <v>300</v>
      </c>
      <c r="DK9" s="362" t="s">
        <v>301</v>
      </c>
      <c r="DL9" s="362" t="s">
        <v>302</v>
      </c>
      <c r="DM9" s="362">
        <v>8.6199999999999992</v>
      </c>
      <c r="DN9" s="362">
        <v>7.95</v>
      </c>
      <c r="DO9" s="362">
        <v>2942</v>
      </c>
      <c r="DP9" s="362">
        <v>20.12</v>
      </c>
      <c r="DQ9" s="362">
        <v>1.97</v>
      </c>
    </row>
    <row r="10" spans="1:121" hidden="1" x14ac:dyDescent="0.25">
      <c r="A10" s="362" t="s">
        <v>299</v>
      </c>
      <c r="B10" s="56" t="str">
        <f>VLOOKUP(Table3[[#This Row],[Station]], StationName, 2, FALSE)</f>
        <v>L03-214-2 (L03P18)</v>
      </c>
      <c r="C10" s="362">
        <v>1717007</v>
      </c>
      <c r="D10" s="221">
        <v>44341.42291666667</v>
      </c>
      <c r="E10" s="362" t="s">
        <v>293</v>
      </c>
      <c r="F10" s="362" t="s">
        <v>294</v>
      </c>
      <c r="G10" s="362" t="s">
        <v>294</v>
      </c>
      <c r="H10" s="362" t="s">
        <v>294</v>
      </c>
      <c r="I10" s="362" t="s">
        <v>294</v>
      </c>
      <c r="J10" s="362" t="s">
        <v>294</v>
      </c>
      <c r="K10" s="362" t="s">
        <v>294</v>
      </c>
      <c r="L10" s="362" t="s">
        <v>294</v>
      </c>
      <c r="M10" s="362" t="s">
        <v>294</v>
      </c>
      <c r="N10" s="362" t="s">
        <v>294</v>
      </c>
      <c r="O10" s="362" t="s">
        <v>294</v>
      </c>
      <c r="P10" s="362" t="s">
        <v>294</v>
      </c>
      <c r="Q10" s="362" t="s">
        <v>294</v>
      </c>
      <c r="R10" s="362" t="s">
        <v>294</v>
      </c>
      <c r="S10" s="362" t="s">
        <v>294</v>
      </c>
      <c r="T10" s="362" t="s">
        <v>294</v>
      </c>
      <c r="U10" s="362" t="s">
        <v>294</v>
      </c>
      <c r="V10" s="362" t="s">
        <v>294</v>
      </c>
      <c r="W10" s="362" t="s">
        <v>294</v>
      </c>
      <c r="X10" s="362" t="s">
        <v>294</v>
      </c>
      <c r="Y10" s="362" t="s">
        <v>294</v>
      </c>
      <c r="Z10" s="362" t="s">
        <v>294</v>
      </c>
      <c r="AA10" s="362" t="s">
        <v>294</v>
      </c>
      <c r="AB10" s="362" t="s">
        <v>294</v>
      </c>
      <c r="AC10" s="362" t="s">
        <v>294</v>
      </c>
      <c r="AD10" s="362" t="s">
        <v>294</v>
      </c>
      <c r="AE10" s="362" t="s">
        <v>294</v>
      </c>
      <c r="AF10" s="362" t="s">
        <v>294</v>
      </c>
      <c r="AG10" s="362" t="s">
        <v>294</v>
      </c>
      <c r="AH10" s="362" t="s">
        <v>294</v>
      </c>
      <c r="AI10" s="362" t="s">
        <v>294</v>
      </c>
      <c r="AJ10" s="362" t="s">
        <v>294</v>
      </c>
      <c r="AK10" s="362" t="s">
        <v>294</v>
      </c>
      <c r="AL10" s="362" t="s">
        <v>294</v>
      </c>
      <c r="AM10" s="362" t="s">
        <v>294</v>
      </c>
      <c r="AN10" s="362" t="s">
        <v>294</v>
      </c>
      <c r="AO10" s="362" t="s">
        <v>294</v>
      </c>
      <c r="AP10" s="362" t="s">
        <v>294</v>
      </c>
      <c r="AQ10" s="362" t="s">
        <v>294</v>
      </c>
      <c r="AR10" s="362" t="s">
        <v>294</v>
      </c>
      <c r="AS10" s="362" t="s">
        <v>294</v>
      </c>
      <c r="AT10" s="362" t="s">
        <v>294</v>
      </c>
      <c r="AU10" s="362" t="s">
        <v>294</v>
      </c>
      <c r="AV10" s="362" t="s">
        <v>294</v>
      </c>
      <c r="AW10" s="362" t="s">
        <v>294</v>
      </c>
      <c r="AX10" s="362" t="s">
        <v>294</v>
      </c>
      <c r="AY10" s="362" t="s">
        <v>294</v>
      </c>
      <c r="AZ10" s="362" t="s">
        <v>294</v>
      </c>
      <c r="BA10" s="362" t="s">
        <v>294</v>
      </c>
      <c r="BB10" s="362" t="s">
        <v>294</v>
      </c>
      <c r="BC10" s="362" t="s">
        <v>294</v>
      </c>
      <c r="BD10" s="362" t="s">
        <v>294</v>
      </c>
      <c r="BE10" s="362" t="s">
        <v>294</v>
      </c>
      <c r="BF10" s="362" t="s">
        <v>294</v>
      </c>
      <c r="BG10" s="362" t="s">
        <v>294</v>
      </c>
      <c r="BH10" s="362" t="s">
        <v>294</v>
      </c>
      <c r="BI10" s="362" t="s">
        <v>294</v>
      </c>
      <c r="BJ10" s="362" t="s">
        <v>294</v>
      </c>
      <c r="BK10" s="362" t="s">
        <v>294</v>
      </c>
      <c r="BL10" s="362" t="s">
        <v>294</v>
      </c>
      <c r="BM10" s="362" t="s">
        <v>294</v>
      </c>
      <c r="BN10" s="362" t="s">
        <v>294</v>
      </c>
      <c r="BO10" s="362" t="s">
        <v>294</v>
      </c>
      <c r="BP10" s="362" t="s">
        <v>294</v>
      </c>
      <c r="BQ10" s="362" t="s">
        <v>294</v>
      </c>
      <c r="BR10" s="362" t="s">
        <v>294</v>
      </c>
      <c r="BS10" s="362" t="s">
        <v>294</v>
      </c>
      <c r="BT10" s="362" t="s">
        <v>294</v>
      </c>
      <c r="BU10" s="362" t="s">
        <v>294</v>
      </c>
      <c r="BV10" s="362" t="s">
        <v>294</v>
      </c>
      <c r="BW10" s="362" t="s">
        <v>294</v>
      </c>
      <c r="BX10" s="362" t="s">
        <v>294</v>
      </c>
      <c r="BY10" s="362" t="s">
        <v>294</v>
      </c>
      <c r="BZ10" s="362" t="s">
        <v>294</v>
      </c>
      <c r="CA10" s="362">
        <v>11</v>
      </c>
      <c r="CB10" s="362">
        <v>40</v>
      </c>
      <c r="CC10" s="362" t="s">
        <v>294</v>
      </c>
      <c r="CD10" s="362">
        <v>6.2E-2</v>
      </c>
      <c r="CE10" s="362">
        <v>0.54</v>
      </c>
      <c r="CF10" s="362">
        <v>9.1999999999999993</v>
      </c>
      <c r="CG10" s="362" t="s">
        <v>294</v>
      </c>
      <c r="CH10" s="362" t="s">
        <v>294</v>
      </c>
      <c r="CI10" s="362">
        <v>49</v>
      </c>
      <c r="CJ10" s="362" t="s">
        <v>254</v>
      </c>
      <c r="CK10" s="362" t="s">
        <v>294</v>
      </c>
      <c r="CL10" s="362">
        <v>180</v>
      </c>
      <c r="CM10" s="362" t="s">
        <v>294</v>
      </c>
      <c r="CN10" s="362" t="s">
        <v>288</v>
      </c>
      <c r="CO10" s="362">
        <v>95</v>
      </c>
      <c r="CP10" s="362">
        <v>51</v>
      </c>
      <c r="CQ10" s="362" t="s">
        <v>254</v>
      </c>
      <c r="CR10" s="362" t="s">
        <v>254</v>
      </c>
      <c r="CS10" s="362" t="s">
        <v>294</v>
      </c>
      <c r="CT10" s="362">
        <v>33</v>
      </c>
      <c r="CU10" s="362" t="s">
        <v>294</v>
      </c>
      <c r="CV10" s="362" t="s">
        <v>294</v>
      </c>
      <c r="CW10" s="362" t="s">
        <v>294</v>
      </c>
      <c r="CX10" s="362" t="s">
        <v>294</v>
      </c>
      <c r="CY10" s="362" t="s">
        <v>294</v>
      </c>
      <c r="CZ10" s="362" t="s">
        <v>294</v>
      </c>
      <c r="DA10" s="362" t="s">
        <v>294</v>
      </c>
      <c r="DB10" s="362" t="s">
        <v>294</v>
      </c>
      <c r="DC10" s="362" t="s">
        <v>294</v>
      </c>
      <c r="DD10" s="362" t="s">
        <v>294</v>
      </c>
      <c r="DE10" s="362" t="s">
        <v>294</v>
      </c>
      <c r="DF10" s="362" t="s">
        <v>294</v>
      </c>
      <c r="DG10" s="362" t="s">
        <v>294</v>
      </c>
      <c r="DH10" s="362" t="s">
        <v>294</v>
      </c>
      <c r="DI10" s="362" t="s">
        <v>294</v>
      </c>
      <c r="DJ10" s="362" t="s">
        <v>294</v>
      </c>
      <c r="DK10" s="362" t="s">
        <v>294</v>
      </c>
      <c r="DL10" s="362" t="s">
        <v>294</v>
      </c>
      <c r="DM10" s="362" t="s">
        <v>294</v>
      </c>
      <c r="DN10" s="362" t="s">
        <v>294</v>
      </c>
      <c r="DO10" s="362" t="s">
        <v>294</v>
      </c>
      <c r="DP10" s="362" t="s">
        <v>294</v>
      </c>
      <c r="DQ10" s="362" t="s">
        <v>294</v>
      </c>
    </row>
    <row r="11" spans="1:121" x14ac:dyDescent="0.25">
      <c r="A11" s="362" t="s">
        <v>303</v>
      </c>
      <c r="B11" s="56" t="str">
        <f>VLOOKUP(Table3[[#This Row],[Station]], StationName, 2, FALSE)</f>
        <v>L03-316-3 (L03P12)</v>
      </c>
      <c r="C11" s="362">
        <v>1717004</v>
      </c>
      <c r="D11" s="221">
        <v>44341.454861111109</v>
      </c>
      <c r="E11" s="362" t="s">
        <v>283</v>
      </c>
      <c r="F11" s="362">
        <v>84</v>
      </c>
      <c r="G11" s="362">
        <v>95</v>
      </c>
      <c r="H11" s="362">
        <v>106</v>
      </c>
      <c r="I11" s="362">
        <v>94</v>
      </c>
      <c r="J11" s="362">
        <v>76</v>
      </c>
      <c r="K11" s="362">
        <v>66</v>
      </c>
      <c r="L11" s="362">
        <v>81</v>
      </c>
      <c r="M11" s="362">
        <v>78</v>
      </c>
      <c r="N11" s="362">
        <v>47</v>
      </c>
      <c r="O11" s="362" t="s">
        <v>259</v>
      </c>
      <c r="P11" s="362" t="s">
        <v>259</v>
      </c>
      <c r="Q11" s="362" t="s">
        <v>259</v>
      </c>
      <c r="R11" s="362" t="s">
        <v>259</v>
      </c>
      <c r="S11" s="362" t="s">
        <v>259</v>
      </c>
      <c r="T11" s="362" t="s">
        <v>259</v>
      </c>
      <c r="U11" s="362" t="s">
        <v>256</v>
      </c>
      <c r="V11" s="362" t="s">
        <v>256</v>
      </c>
      <c r="W11" s="362" t="s">
        <v>256</v>
      </c>
      <c r="X11" s="362" t="s">
        <v>256</v>
      </c>
      <c r="Y11" s="362" t="s">
        <v>284</v>
      </c>
      <c r="Z11" s="362" t="s">
        <v>256</v>
      </c>
      <c r="AA11" s="362" t="s">
        <v>256</v>
      </c>
      <c r="AB11" s="362" t="s">
        <v>256</v>
      </c>
      <c r="AC11" s="362" t="s">
        <v>256</v>
      </c>
      <c r="AD11" s="362" t="s">
        <v>256</v>
      </c>
      <c r="AE11" s="362" t="s">
        <v>256</v>
      </c>
      <c r="AF11" s="362" t="s">
        <v>256</v>
      </c>
      <c r="AG11" s="362" t="s">
        <v>256</v>
      </c>
      <c r="AH11" s="362" t="s">
        <v>256</v>
      </c>
      <c r="AI11" s="362" t="s">
        <v>256</v>
      </c>
      <c r="AJ11" s="362" t="s">
        <v>248</v>
      </c>
      <c r="AK11" s="362" t="s">
        <v>259</v>
      </c>
      <c r="AL11" s="362" t="s">
        <v>259</v>
      </c>
      <c r="AM11" s="362" t="s">
        <v>251</v>
      </c>
      <c r="AN11" s="362" t="s">
        <v>256</v>
      </c>
      <c r="AO11" s="362" t="s">
        <v>259</v>
      </c>
      <c r="AP11" s="362" t="s">
        <v>251</v>
      </c>
      <c r="AQ11" s="362" t="s">
        <v>256</v>
      </c>
      <c r="AR11" s="362" t="s">
        <v>256</v>
      </c>
      <c r="AS11" s="362" t="s">
        <v>285</v>
      </c>
      <c r="AT11" s="362" t="s">
        <v>259</v>
      </c>
      <c r="AU11" s="362" t="s">
        <v>284</v>
      </c>
      <c r="AV11" s="362" t="s">
        <v>259</v>
      </c>
      <c r="AW11" s="362" t="s">
        <v>256</v>
      </c>
      <c r="AX11" s="362" t="s">
        <v>256</v>
      </c>
      <c r="AY11" s="362" t="s">
        <v>256</v>
      </c>
      <c r="AZ11" s="362" t="s">
        <v>256</v>
      </c>
      <c r="BA11" s="362" t="s">
        <v>256</v>
      </c>
      <c r="BB11" s="362" t="s">
        <v>259</v>
      </c>
      <c r="BC11" s="362" t="s">
        <v>286</v>
      </c>
      <c r="BD11" s="362" t="s">
        <v>248</v>
      </c>
      <c r="BE11" s="362" t="s">
        <v>259</v>
      </c>
      <c r="BF11" s="362" t="s">
        <v>248</v>
      </c>
      <c r="BG11" s="362" t="s">
        <v>256</v>
      </c>
      <c r="BH11" s="362" t="s">
        <v>256</v>
      </c>
      <c r="BI11" s="362" t="s">
        <v>256</v>
      </c>
      <c r="BJ11" s="362" t="s">
        <v>256</v>
      </c>
      <c r="BK11" s="362" t="s">
        <v>256</v>
      </c>
      <c r="BL11" s="362">
        <v>16.5</v>
      </c>
      <c r="BM11" s="362" t="s">
        <v>259</v>
      </c>
      <c r="BN11" s="362" t="s">
        <v>256</v>
      </c>
      <c r="BO11" s="362" t="s">
        <v>259</v>
      </c>
      <c r="BP11" s="362" t="s">
        <v>284</v>
      </c>
      <c r="BQ11" s="362" t="s">
        <v>256</v>
      </c>
      <c r="BR11" s="362" t="s">
        <v>256</v>
      </c>
      <c r="BS11" s="362">
        <v>1.47</v>
      </c>
      <c r="BT11" s="362" t="s">
        <v>284</v>
      </c>
      <c r="BU11" s="362">
        <v>1.65</v>
      </c>
      <c r="BV11" s="362" t="s">
        <v>248</v>
      </c>
      <c r="BW11" s="362" t="s">
        <v>285</v>
      </c>
      <c r="BX11" s="362" t="s">
        <v>287</v>
      </c>
      <c r="BY11" s="362" t="s">
        <v>259</v>
      </c>
      <c r="BZ11" s="362" t="s">
        <v>259</v>
      </c>
      <c r="CA11" s="362">
        <v>8.1</v>
      </c>
      <c r="CB11" s="362">
        <v>4.4000000000000004</v>
      </c>
      <c r="CC11" s="362">
        <v>492</v>
      </c>
      <c r="CD11" s="362" t="s">
        <v>230</v>
      </c>
      <c r="CE11" s="362">
        <v>0.4</v>
      </c>
      <c r="CF11" s="362">
        <v>4.5999999999999996</v>
      </c>
      <c r="CG11" s="362">
        <v>5.0999999999999996</v>
      </c>
      <c r="CH11" s="362">
        <v>2000</v>
      </c>
      <c r="CI11" s="362">
        <v>53</v>
      </c>
      <c r="CJ11" s="362" t="s">
        <v>254</v>
      </c>
      <c r="CK11" s="362">
        <v>187</v>
      </c>
      <c r="CL11" s="362">
        <v>110</v>
      </c>
      <c r="CM11" s="362">
        <v>6.2E-2</v>
      </c>
      <c r="CN11" s="362" t="s">
        <v>288</v>
      </c>
      <c r="CO11" s="362">
        <v>35</v>
      </c>
      <c r="CP11" s="362">
        <v>67</v>
      </c>
      <c r="CQ11" s="362" t="s">
        <v>254</v>
      </c>
      <c r="CR11" s="362" t="s">
        <v>254</v>
      </c>
      <c r="CS11" s="362">
        <v>5.0999999999999996</v>
      </c>
      <c r="CT11" s="362" t="s">
        <v>284</v>
      </c>
      <c r="CU11" s="362">
        <v>0.41</v>
      </c>
      <c r="CV11" s="362">
        <v>580</v>
      </c>
      <c r="CW11" s="362">
        <v>3.3</v>
      </c>
      <c r="CX11" s="362">
        <v>0.74</v>
      </c>
      <c r="CY11" s="362">
        <v>0.26</v>
      </c>
      <c r="CZ11" s="362">
        <v>8.09</v>
      </c>
      <c r="DA11" s="362">
        <v>1.1000000000000001</v>
      </c>
      <c r="DB11" s="362">
        <v>5500</v>
      </c>
      <c r="DC11" s="362">
        <v>1800</v>
      </c>
      <c r="DD11" s="362">
        <v>22.7</v>
      </c>
      <c r="DE11" s="362">
        <v>3800</v>
      </c>
      <c r="DF11" s="362" t="s">
        <v>296</v>
      </c>
      <c r="DG11" s="362">
        <v>3.5</v>
      </c>
      <c r="DH11" s="362">
        <v>0.97</v>
      </c>
      <c r="DI11" s="362">
        <v>640</v>
      </c>
      <c r="DJ11" s="362">
        <v>330</v>
      </c>
      <c r="DK11" s="362">
        <v>380</v>
      </c>
      <c r="DL11" s="362" t="s">
        <v>304</v>
      </c>
      <c r="DM11" s="362">
        <v>8.43</v>
      </c>
      <c r="DN11" s="362">
        <v>7.84</v>
      </c>
      <c r="DO11" s="362">
        <v>4688.2</v>
      </c>
      <c r="DP11" s="362">
        <v>20.52</v>
      </c>
      <c r="DQ11" s="362">
        <v>1.4</v>
      </c>
    </row>
    <row r="12" spans="1:121" hidden="1" x14ac:dyDescent="0.25">
      <c r="A12" s="362" t="s">
        <v>303</v>
      </c>
      <c r="B12" s="56" t="str">
        <f>VLOOKUP(Table3[[#This Row],[Station]], StationName, 2, FALSE)</f>
        <v>L03-316-3 (L03P12)</v>
      </c>
      <c r="C12" s="362">
        <v>1717008</v>
      </c>
      <c r="D12" s="221">
        <v>44341.454861111109</v>
      </c>
      <c r="E12" s="362" t="s">
        <v>293</v>
      </c>
      <c r="F12" s="362" t="s">
        <v>294</v>
      </c>
      <c r="G12" s="362" t="s">
        <v>294</v>
      </c>
      <c r="H12" s="362" t="s">
        <v>294</v>
      </c>
      <c r="I12" s="362" t="s">
        <v>294</v>
      </c>
      <c r="J12" s="362" t="s">
        <v>294</v>
      </c>
      <c r="K12" s="362" t="s">
        <v>294</v>
      </c>
      <c r="L12" s="362" t="s">
        <v>294</v>
      </c>
      <c r="M12" s="362" t="s">
        <v>294</v>
      </c>
      <c r="N12" s="362" t="s">
        <v>294</v>
      </c>
      <c r="O12" s="362" t="s">
        <v>294</v>
      </c>
      <c r="P12" s="362" t="s">
        <v>294</v>
      </c>
      <c r="Q12" s="362" t="s">
        <v>294</v>
      </c>
      <c r="R12" s="362" t="s">
        <v>294</v>
      </c>
      <c r="S12" s="362" t="s">
        <v>294</v>
      </c>
      <c r="T12" s="362" t="s">
        <v>294</v>
      </c>
      <c r="U12" s="362" t="s">
        <v>294</v>
      </c>
      <c r="V12" s="362" t="s">
        <v>294</v>
      </c>
      <c r="W12" s="362" t="s">
        <v>294</v>
      </c>
      <c r="X12" s="362" t="s">
        <v>294</v>
      </c>
      <c r="Y12" s="362" t="s">
        <v>294</v>
      </c>
      <c r="Z12" s="362" t="s">
        <v>294</v>
      </c>
      <c r="AA12" s="362" t="s">
        <v>294</v>
      </c>
      <c r="AB12" s="362" t="s">
        <v>294</v>
      </c>
      <c r="AC12" s="362" t="s">
        <v>294</v>
      </c>
      <c r="AD12" s="362" t="s">
        <v>294</v>
      </c>
      <c r="AE12" s="362" t="s">
        <v>294</v>
      </c>
      <c r="AF12" s="362" t="s">
        <v>294</v>
      </c>
      <c r="AG12" s="362" t="s">
        <v>294</v>
      </c>
      <c r="AH12" s="362" t="s">
        <v>294</v>
      </c>
      <c r="AI12" s="362" t="s">
        <v>294</v>
      </c>
      <c r="AJ12" s="362" t="s">
        <v>294</v>
      </c>
      <c r="AK12" s="362" t="s">
        <v>294</v>
      </c>
      <c r="AL12" s="362" t="s">
        <v>294</v>
      </c>
      <c r="AM12" s="362" t="s">
        <v>294</v>
      </c>
      <c r="AN12" s="362" t="s">
        <v>294</v>
      </c>
      <c r="AO12" s="362" t="s">
        <v>294</v>
      </c>
      <c r="AP12" s="362" t="s">
        <v>294</v>
      </c>
      <c r="AQ12" s="362" t="s">
        <v>294</v>
      </c>
      <c r="AR12" s="362" t="s">
        <v>294</v>
      </c>
      <c r="AS12" s="362" t="s">
        <v>294</v>
      </c>
      <c r="AT12" s="362" t="s">
        <v>294</v>
      </c>
      <c r="AU12" s="362" t="s">
        <v>294</v>
      </c>
      <c r="AV12" s="362" t="s">
        <v>294</v>
      </c>
      <c r="AW12" s="362" t="s">
        <v>294</v>
      </c>
      <c r="AX12" s="362" t="s">
        <v>294</v>
      </c>
      <c r="AY12" s="362" t="s">
        <v>294</v>
      </c>
      <c r="AZ12" s="362" t="s">
        <v>294</v>
      </c>
      <c r="BA12" s="362" t="s">
        <v>294</v>
      </c>
      <c r="BB12" s="362" t="s">
        <v>294</v>
      </c>
      <c r="BC12" s="362" t="s">
        <v>294</v>
      </c>
      <c r="BD12" s="362" t="s">
        <v>294</v>
      </c>
      <c r="BE12" s="362" t="s">
        <v>294</v>
      </c>
      <c r="BF12" s="362" t="s">
        <v>294</v>
      </c>
      <c r="BG12" s="362" t="s">
        <v>294</v>
      </c>
      <c r="BH12" s="362" t="s">
        <v>294</v>
      </c>
      <c r="BI12" s="362" t="s">
        <v>294</v>
      </c>
      <c r="BJ12" s="362" t="s">
        <v>294</v>
      </c>
      <c r="BK12" s="362" t="s">
        <v>294</v>
      </c>
      <c r="BL12" s="362" t="s">
        <v>294</v>
      </c>
      <c r="BM12" s="362" t="s">
        <v>294</v>
      </c>
      <c r="BN12" s="362" t="s">
        <v>294</v>
      </c>
      <c r="BO12" s="362" t="s">
        <v>294</v>
      </c>
      <c r="BP12" s="362" t="s">
        <v>294</v>
      </c>
      <c r="BQ12" s="362" t="s">
        <v>294</v>
      </c>
      <c r="BR12" s="362" t="s">
        <v>294</v>
      </c>
      <c r="BS12" s="362" t="s">
        <v>294</v>
      </c>
      <c r="BT12" s="362" t="s">
        <v>294</v>
      </c>
      <c r="BU12" s="362" t="s">
        <v>294</v>
      </c>
      <c r="BV12" s="362" t="s">
        <v>294</v>
      </c>
      <c r="BW12" s="362" t="s">
        <v>294</v>
      </c>
      <c r="BX12" s="362" t="s">
        <v>294</v>
      </c>
      <c r="BY12" s="362" t="s">
        <v>294</v>
      </c>
      <c r="BZ12" s="362" t="s">
        <v>294</v>
      </c>
      <c r="CA12" s="362">
        <v>8</v>
      </c>
      <c r="CB12" s="362">
        <v>3.6</v>
      </c>
      <c r="CC12" s="362" t="s">
        <v>294</v>
      </c>
      <c r="CD12" s="362" t="s">
        <v>230</v>
      </c>
      <c r="CE12" s="362">
        <v>0.3</v>
      </c>
      <c r="CF12" s="362">
        <v>4.2</v>
      </c>
      <c r="CG12" s="362" t="s">
        <v>294</v>
      </c>
      <c r="CH12" s="362" t="s">
        <v>294</v>
      </c>
      <c r="CI12" s="362" t="s">
        <v>286</v>
      </c>
      <c r="CJ12" s="362" t="s">
        <v>254</v>
      </c>
      <c r="CK12" s="362" t="s">
        <v>294</v>
      </c>
      <c r="CL12" s="362">
        <v>100</v>
      </c>
      <c r="CM12" s="362" t="s">
        <v>294</v>
      </c>
      <c r="CN12" s="362" t="s">
        <v>288</v>
      </c>
      <c r="CO12" s="362">
        <v>35</v>
      </c>
      <c r="CP12" s="362">
        <v>66</v>
      </c>
      <c r="CQ12" s="362" t="s">
        <v>254</v>
      </c>
      <c r="CR12" s="362" t="s">
        <v>254</v>
      </c>
      <c r="CS12" s="362" t="s">
        <v>294</v>
      </c>
      <c r="CT12" s="362" t="s">
        <v>284</v>
      </c>
      <c r="CU12" s="362" t="s">
        <v>294</v>
      </c>
      <c r="CV12" s="362" t="s">
        <v>294</v>
      </c>
      <c r="CW12" s="362" t="s">
        <v>294</v>
      </c>
      <c r="CX12" s="362" t="s">
        <v>294</v>
      </c>
      <c r="CY12" s="362" t="s">
        <v>294</v>
      </c>
      <c r="CZ12" s="362" t="s">
        <v>294</v>
      </c>
      <c r="DA12" s="362" t="s">
        <v>294</v>
      </c>
      <c r="DB12" s="362" t="s">
        <v>294</v>
      </c>
      <c r="DC12" s="362" t="s">
        <v>294</v>
      </c>
      <c r="DD12" s="362" t="s">
        <v>294</v>
      </c>
      <c r="DE12" s="362" t="s">
        <v>294</v>
      </c>
      <c r="DF12" s="362" t="s">
        <v>294</v>
      </c>
      <c r="DG12" s="362" t="s">
        <v>294</v>
      </c>
      <c r="DH12" s="362" t="s">
        <v>294</v>
      </c>
      <c r="DI12" s="362" t="s">
        <v>294</v>
      </c>
      <c r="DJ12" s="362" t="s">
        <v>294</v>
      </c>
      <c r="DK12" s="362" t="s">
        <v>294</v>
      </c>
      <c r="DL12" s="362" t="s">
        <v>294</v>
      </c>
      <c r="DM12" s="362" t="s">
        <v>294</v>
      </c>
      <c r="DN12" s="362" t="s">
        <v>294</v>
      </c>
      <c r="DO12" s="362" t="s">
        <v>294</v>
      </c>
      <c r="DP12" s="362" t="s">
        <v>294</v>
      </c>
      <c r="DQ12" s="362" t="s">
        <v>294</v>
      </c>
    </row>
    <row r="13" spans="1:121" x14ac:dyDescent="0.25">
      <c r="A13" s="362" t="s">
        <v>305</v>
      </c>
      <c r="B13" s="56" t="str">
        <f>VLOOKUP(Table3[[#This Row],[Station]], StationName, 2, FALSE)</f>
        <v>I01-11343-2 (I02P18)</v>
      </c>
      <c r="C13" s="362">
        <v>1693002</v>
      </c>
      <c r="D13" s="221">
        <v>44341.495138888888</v>
      </c>
      <c r="E13" s="362" t="s">
        <v>283</v>
      </c>
      <c r="F13" s="362">
        <v>70</v>
      </c>
      <c r="G13" s="362">
        <v>87</v>
      </c>
      <c r="H13" s="362">
        <v>114</v>
      </c>
      <c r="I13" s="362">
        <v>81</v>
      </c>
      <c r="J13" s="362">
        <v>55</v>
      </c>
      <c r="K13" s="362">
        <v>57</v>
      </c>
      <c r="L13" s="362">
        <v>69</v>
      </c>
      <c r="M13" s="362">
        <v>58</v>
      </c>
      <c r="N13" s="362">
        <v>47</v>
      </c>
      <c r="O13" s="362" t="s">
        <v>259</v>
      </c>
      <c r="P13" s="362" t="s">
        <v>259</v>
      </c>
      <c r="Q13" s="362" t="s">
        <v>259</v>
      </c>
      <c r="R13" s="362" t="s">
        <v>259</v>
      </c>
      <c r="S13" s="362" t="s">
        <v>259</v>
      </c>
      <c r="T13" s="362" t="s">
        <v>259</v>
      </c>
      <c r="U13" s="362" t="s">
        <v>256</v>
      </c>
      <c r="V13" s="362" t="s">
        <v>256</v>
      </c>
      <c r="W13" s="362" t="s">
        <v>256</v>
      </c>
      <c r="X13" s="362" t="s">
        <v>256</v>
      </c>
      <c r="Y13" s="362" t="s">
        <v>284</v>
      </c>
      <c r="Z13" s="362" t="s">
        <v>256</v>
      </c>
      <c r="AA13" s="362" t="s">
        <v>256</v>
      </c>
      <c r="AB13" s="362" t="s">
        <v>256</v>
      </c>
      <c r="AC13" s="362" t="s">
        <v>256</v>
      </c>
      <c r="AD13" s="362" t="s">
        <v>256</v>
      </c>
      <c r="AE13" s="362" t="s">
        <v>256</v>
      </c>
      <c r="AF13" s="362" t="s">
        <v>256</v>
      </c>
      <c r="AG13" s="362" t="s">
        <v>256</v>
      </c>
      <c r="AH13" s="362" t="s">
        <v>256</v>
      </c>
      <c r="AI13" s="362" t="s">
        <v>256</v>
      </c>
      <c r="AJ13" s="362" t="s">
        <v>248</v>
      </c>
      <c r="AK13" s="362" t="s">
        <v>259</v>
      </c>
      <c r="AL13" s="362" t="s">
        <v>259</v>
      </c>
      <c r="AM13" s="362" t="s">
        <v>251</v>
      </c>
      <c r="AN13" s="362" t="s">
        <v>256</v>
      </c>
      <c r="AO13" s="362" t="s">
        <v>259</v>
      </c>
      <c r="AP13" s="362" t="s">
        <v>251</v>
      </c>
      <c r="AQ13" s="362" t="s">
        <v>256</v>
      </c>
      <c r="AR13" s="362" t="s">
        <v>256</v>
      </c>
      <c r="AS13" s="362" t="s">
        <v>285</v>
      </c>
      <c r="AT13" s="362" t="s">
        <v>259</v>
      </c>
      <c r="AU13" s="362" t="s">
        <v>284</v>
      </c>
      <c r="AV13" s="362" t="s">
        <v>259</v>
      </c>
      <c r="AW13" s="362" t="s">
        <v>256</v>
      </c>
      <c r="AX13" s="362" t="s">
        <v>256</v>
      </c>
      <c r="AY13" s="362" t="s">
        <v>256</v>
      </c>
      <c r="AZ13" s="362" t="s">
        <v>256</v>
      </c>
      <c r="BA13" s="362" t="s">
        <v>256</v>
      </c>
      <c r="BB13" s="362" t="s">
        <v>259</v>
      </c>
      <c r="BC13" s="362" t="s">
        <v>286</v>
      </c>
      <c r="BD13" s="362" t="s">
        <v>248</v>
      </c>
      <c r="BE13" s="362" t="s">
        <v>259</v>
      </c>
      <c r="BF13" s="362" t="s">
        <v>248</v>
      </c>
      <c r="BG13" s="362">
        <v>1.82</v>
      </c>
      <c r="BH13" s="362" t="s">
        <v>256</v>
      </c>
      <c r="BI13" s="362" t="s">
        <v>256</v>
      </c>
      <c r="BJ13" s="362" t="s">
        <v>256</v>
      </c>
      <c r="BK13" s="362" t="s">
        <v>256</v>
      </c>
      <c r="BL13" s="362" t="s">
        <v>256</v>
      </c>
      <c r="BM13" s="362" t="s">
        <v>259</v>
      </c>
      <c r="BN13" s="362" t="s">
        <v>256</v>
      </c>
      <c r="BO13" s="362" t="s">
        <v>259</v>
      </c>
      <c r="BP13" s="362" t="s">
        <v>284</v>
      </c>
      <c r="BQ13" s="362" t="s">
        <v>256</v>
      </c>
      <c r="BR13" s="362" t="s">
        <v>256</v>
      </c>
      <c r="BS13" s="362">
        <v>2.67</v>
      </c>
      <c r="BT13" s="362" t="s">
        <v>284</v>
      </c>
      <c r="BU13" s="362">
        <v>2.4500000000000002</v>
      </c>
      <c r="BV13" s="362" t="s">
        <v>248</v>
      </c>
      <c r="BW13" s="362" t="s">
        <v>285</v>
      </c>
      <c r="BX13" s="362" t="s">
        <v>287</v>
      </c>
      <c r="BY13" s="362" t="s">
        <v>259</v>
      </c>
      <c r="BZ13" s="362" t="s">
        <v>259</v>
      </c>
      <c r="CA13" s="362">
        <v>9.4</v>
      </c>
      <c r="CB13" s="362" t="s">
        <v>254</v>
      </c>
      <c r="CC13" s="362">
        <v>145</v>
      </c>
      <c r="CD13" s="362" t="s">
        <v>230</v>
      </c>
      <c r="CE13" s="362">
        <v>0.35</v>
      </c>
      <c r="CF13" s="362">
        <v>8.1999999999999993</v>
      </c>
      <c r="CG13" s="362">
        <v>24</v>
      </c>
      <c r="CH13" s="362">
        <v>728</v>
      </c>
      <c r="CI13" s="362">
        <v>3000</v>
      </c>
      <c r="CJ13" s="362" t="s">
        <v>254</v>
      </c>
      <c r="CK13" s="362">
        <v>89</v>
      </c>
      <c r="CL13" s="362">
        <v>760</v>
      </c>
      <c r="CM13" s="362">
        <v>8.5999999999999993E-2</v>
      </c>
      <c r="CN13" s="362" t="s">
        <v>288</v>
      </c>
      <c r="CO13" s="362">
        <v>6</v>
      </c>
      <c r="CP13" s="362">
        <v>1.1000000000000001</v>
      </c>
      <c r="CQ13" s="362" t="s">
        <v>254</v>
      </c>
      <c r="CR13" s="362" t="s">
        <v>254</v>
      </c>
      <c r="CS13" s="362">
        <v>26</v>
      </c>
      <c r="CT13" s="362">
        <v>26</v>
      </c>
      <c r="CU13" s="362">
        <v>0.39</v>
      </c>
      <c r="CV13" s="362">
        <v>440</v>
      </c>
      <c r="CW13" s="362">
        <v>13</v>
      </c>
      <c r="CX13" s="362">
        <v>2.6</v>
      </c>
      <c r="CY13" s="362">
        <v>1.6</v>
      </c>
      <c r="CZ13" s="362">
        <v>8.01</v>
      </c>
      <c r="DA13" s="362">
        <v>6.5</v>
      </c>
      <c r="DB13" s="362">
        <v>3400</v>
      </c>
      <c r="DC13" s="362">
        <v>540</v>
      </c>
      <c r="DD13" s="362">
        <v>22.5</v>
      </c>
      <c r="DE13" s="362">
        <v>1800</v>
      </c>
      <c r="DF13" s="362">
        <v>12</v>
      </c>
      <c r="DG13" s="362">
        <v>17</v>
      </c>
      <c r="DH13" s="362">
        <v>12</v>
      </c>
      <c r="DI13" s="362">
        <v>11300</v>
      </c>
      <c r="DJ13" s="362">
        <v>200</v>
      </c>
      <c r="DK13" s="362">
        <v>200</v>
      </c>
      <c r="DL13" s="362" t="s">
        <v>306</v>
      </c>
      <c r="DM13" s="362">
        <v>7.65</v>
      </c>
      <c r="DN13" s="362">
        <v>7.43</v>
      </c>
      <c r="DO13" s="362">
        <v>4110</v>
      </c>
      <c r="DP13" s="362">
        <v>23.49</v>
      </c>
      <c r="DQ13" s="362">
        <v>13.7</v>
      </c>
    </row>
    <row r="14" spans="1:121" hidden="1" x14ac:dyDescent="0.25">
      <c r="A14" s="362" t="s">
        <v>305</v>
      </c>
      <c r="B14" s="56" t="str">
        <f>VLOOKUP(Table3[[#This Row],[Station]], StationName, 2, FALSE)</f>
        <v>I01-11343-2 (I02P18)</v>
      </c>
      <c r="C14" s="362">
        <v>1693005</v>
      </c>
      <c r="D14" s="221">
        <v>44341.495138888888</v>
      </c>
      <c r="E14" s="362" t="s">
        <v>293</v>
      </c>
      <c r="F14" s="362" t="s">
        <v>294</v>
      </c>
      <c r="G14" s="362" t="s">
        <v>294</v>
      </c>
      <c r="H14" s="362" t="s">
        <v>294</v>
      </c>
      <c r="I14" s="362" t="s">
        <v>294</v>
      </c>
      <c r="J14" s="362" t="s">
        <v>294</v>
      </c>
      <c r="K14" s="362" t="s">
        <v>294</v>
      </c>
      <c r="L14" s="362" t="s">
        <v>294</v>
      </c>
      <c r="M14" s="362" t="s">
        <v>294</v>
      </c>
      <c r="N14" s="362" t="s">
        <v>294</v>
      </c>
      <c r="O14" s="362" t="s">
        <v>294</v>
      </c>
      <c r="P14" s="362" t="s">
        <v>294</v>
      </c>
      <c r="Q14" s="362" t="s">
        <v>294</v>
      </c>
      <c r="R14" s="362" t="s">
        <v>294</v>
      </c>
      <c r="S14" s="362" t="s">
        <v>294</v>
      </c>
      <c r="T14" s="362" t="s">
        <v>294</v>
      </c>
      <c r="U14" s="362" t="s">
        <v>294</v>
      </c>
      <c r="V14" s="362" t="s">
        <v>294</v>
      </c>
      <c r="W14" s="362" t="s">
        <v>294</v>
      </c>
      <c r="X14" s="362" t="s">
        <v>294</v>
      </c>
      <c r="Y14" s="362" t="s">
        <v>294</v>
      </c>
      <c r="Z14" s="362" t="s">
        <v>294</v>
      </c>
      <c r="AA14" s="362" t="s">
        <v>294</v>
      </c>
      <c r="AB14" s="362" t="s">
        <v>294</v>
      </c>
      <c r="AC14" s="362" t="s">
        <v>294</v>
      </c>
      <c r="AD14" s="362" t="s">
        <v>294</v>
      </c>
      <c r="AE14" s="362" t="s">
        <v>294</v>
      </c>
      <c r="AF14" s="362" t="s">
        <v>294</v>
      </c>
      <c r="AG14" s="362" t="s">
        <v>294</v>
      </c>
      <c r="AH14" s="362" t="s">
        <v>294</v>
      </c>
      <c r="AI14" s="362" t="s">
        <v>294</v>
      </c>
      <c r="AJ14" s="362" t="s">
        <v>294</v>
      </c>
      <c r="AK14" s="362" t="s">
        <v>294</v>
      </c>
      <c r="AL14" s="362" t="s">
        <v>294</v>
      </c>
      <c r="AM14" s="362" t="s">
        <v>294</v>
      </c>
      <c r="AN14" s="362" t="s">
        <v>294</v>
      </c>
      <c r="AO14" s="362" t="s">
        <v>294</v>
      </c>
      <c r="AP14" s="362" t="s">
        <v>294</v>
      </c>
      <c r="AQ14" s="362" t="s">
        <v>294</v>
      </c>
      <c r="AR14" s="362" t="s">
        <v>294</v>
      </c>
      <c r="AS14" s="362" t="s">
        <v>294</v>
      </c>
      <c r="AT14" s="362" t="s">
        <v>294</v>
      </c>
      <c r="AU14" s="362" t="s">
        <v>294</v>
      </c>
      <c r="AV14" s="362" t="s">
        <v>294</v>
      </c>
      <c r="AW14" s="362" t="s">
        <v>294</v>
      </c>
      <c r="AX14" s="362" t="s">
        <v>294</v>
      </c>
      <c r="AY14" s="362" t="s">
        <v>294</v>
      </c>
      <c r="AZ14" s="362" t="s">
        <v>294</v>
      </c>
      <c r="BA14" s="362" t="s">
        <v>294</v>
      </c>
      <c r="BB14" s="362" t="s">
        <v>294</v>
      </c>
      <c r="BC14" s="362" t="s">
        <v>294</v>
      </c>
      <c r="BD14" s="362" t="s">
        <v>294</v>
      </c>
      <c r="BE14" s="362" t="s">
        <v>294</v>
      </c>
      <c r="BF14" s="362" t="s">
        <v>294</v>
      </c>
      <c r="BG14" s="362" t="s">
        <v>294</v>
      </c>
      <c r="BH14" s="362" t="s">
        <v>294</v>
      </c>
      <c r="BI14" s="362" t="s">
        <v>294</v>
      </c>
      <c r="BJ14" s="362" t="s">
        <v>294</v>
      </c>
      <c r="BK14" s="362" t="s">
        <v>294</v>
      </c>
      <c r="BL14" s="362" t="s">
        <v>294</v>
      </c>
      <c r="BM14" s="362" t="s">
        <v>294</v>
      </c>
      <c r="BN14" s="362" t="s">
        <v>294</v>
      </c>
      <c r="BO14" s="362" t="s">
        <v>294</v>
      </c>
      <c r="BP14" s="362" t="s">
        <v>294</v>
      </c>
      <c r="BQ14" s="362" t="s">
        <v>294</v>
      </c>
      <c r="BR14" s="362" t="s">
        <v>294</v>
      </c>
      <c r="BS14" s="362" t="s">
        <v>294</v>
      </c>
      <c r="BT14" s="362" t="s">
        <v>294</v>
      </c>
      <c r="BU14" s="362" t="s">
        <v>294</v>
      </c>
      <c r="BV14" s="362" t="s">
        <v>294</v>
      </c>
      <c r="BW14" s="362" t="s">
        <v>294</v>
      </c>
      <c r="BX14" s="362" t="s">
        <v>294</v>
      </c>
      <c r="BY14" s="362" t="s">
        <v>294</v>
      </c>
      <c r="BZ14" s="362" t="s">
        <v>294</v>
      </c>
      <c r="CA14" s="362">
        <v>6.6</v>
      </c>
      <c r="CB14" s="362">
        <v>0.23</v>
      </c>
      <c r="CC14" s="362" t="s">
        <v>294</v>
      </c>
      <c r="CD14" s="362" t="s">
        <v>230</v>
      </c>
      <c r="CE14" s="362">
        <v>0.2</v>
      </c>
      <c r="CF14" s="362">
        <v>7.4</v>
      </c>
      <c r="CG14" s="362" t="s">
        <v>294</v>
      </c>
      <c r="CH14" s="362" t="s">
        <v>294</v>
      </c>
      <c r="CI14" s="362">
        <v>210</v>
      </c>
      <c r="CJ14" s="362" t="s">
        <v>254</v>
      </c>
      <c r="CK14" s="362" t="s">
        <v>294</v>
      </c>
      <c r="CL14" s="362">
        <v>670</v>
      </c>
      <c r="CM14" s="362" t="s">
        <v>294</v>
      </c>
      <c r="CN14" s="362" t="s">
        <v>288</v>
      </c>
      <c r="CO14" s="362">
        <v>5.9</v>
      </c>
      <c r="CP14" s="362">
        <v>1.1000000000000001</v>
      </c>
      <c r="CQ14" s="362" t="s">
        <v>254</v>
      </c>
      <c r="CR14" s="362" t="s">
        <v>254</v>
      </c>
      <c r="CS14" s="362" t="s">
        <v>294</v>
      </c>
      <c r="CT14" s="362">
        <v>18</v>
      </c>
      <c r="CU14" s="362" t="s">
        <v>294</v>
      </c>
      <c r="CV14" s="362" t="s">
        <v>294</v>
      </c>
      <c r="CW14" s="362" t="s">
        <v>294</v>
      </c>
      <c r="CX14" s="362" t="s">
        <v>294</v>
      </c>
      <c r="CY14" s="362" t="s">
        <v>294</v>
      </c>
      <c r="CZ14" s="362" t="s">
        <v>294</v>
      </c>
      <c r="DA14" s="362" t="s">
        <v>294</v>
      </c>
      <c r="DB14" s="362" t="s">
        <v>294</v>
      </c>
      <c r="DC14" s="362" t="s">
        <v>294</v>
      </c>
      <c r="DD14" s="362" t="s">
        <v>294</v>
      </c>
      <c r="DE14" s="362" t="s">
        <v>294</v>
      </c>
      <c r="DF14" s="362" t="s">
        <v>294</v>
      </c>
      <c r="DG14" s="362" t="s">
        <v>294</v>
      </c>
      <c r="DH14" s="362" t="s">
        <v>294</v>
      </c>
      <c r="DI14" s="362" t="s">
        <v>294</v>
      </c>
      <c r="DJ14" s="362" t="s">
        <v>294</v>
      </c>
      <c r="DK14" s="362" t="s">
        <v>294</v>
      </c>
      <c r="DL14" s="362" t="s">
        <v>294</v>
      </c>
      <c r="DM14" s="362" t="s">
        <v>294</v>
      </c>
      <c r="DN14" s="362" t="s">
        <v>294</v>
      </c>
      <c r="DO14" s="362" t="s">
        <v>294</v>
      </c>
      <c r="DP14" s="362" t="s">
        <v>294</v>
      </c>
      <c r="DQ14" s="362" t="s">
        <v>294</v>
      </c>
    </row>
    <row r="15" spans="1:121" x14ac:dyDescent="0.25">
      <c r="A15" s="362" t="s">
        <v>150</v>
      </c>
      <c r="B15" s="56" t="str">
        <f>VLOOKUP(Table3[[#This Row],[Station]], StationName, 2, FALSE)</f>
        <v>L03-073-3</v>
      </c>
      <c r="C15" s="362">
        <v>1717001</v>
      </c>
      <c r="D15" s="221">
        <v>44341.503472222219</v>
      </c>
      <c r="E15" s="362" t="s">
        <v>283</v>
      </c>
      <c r="F15" s="362">
        <v>90</v>
      </c>
      <c r="G15" s="362">
        <v>99</v>
      </c>
      <c r="H15" s="362">
        <v>112</v>
      </c>
      <c r="I15" s="362">
        <v>99</v>
      </c>
      <c r="J15" s="362">
        <v>83</v>
      </c>
      <c r="K15" s="362">
        <v>67</v>
      </c>
      <c r="L15" s="362">
        <v>82</v>
      </c>
      <c r="M15" s="362">
        <v>73</v>
      </c>
      <c r="N15" s="362">
        <v>48</v>
      </c>
      <c r="O15" s="362" t="s">
        <v>259</v>
      </c>
      <c r="P15" s="362" t="s">
        <v>259</v>
      </c>
      <c r="Q15" s="362" t="s">
        <v>259</v>
      </c>
      <c r="R15" s="362" t="s">
        <v>259</v>
      </c>
      <c r="S15" s="362" t="s">
        <v>259</v>
      </c>
      <c r="T15" s="362" t="s">
        <v>259</v>
      </c>
      <c r="U15" s="362" t="s">
        <v>256</v>
      </c>
      <c r="V15" s="362" t="s">
        <v>256</v>
      </c>
      <c r="W15" s="362" t="s">
        <v>256</v>
      </c>
      <c r="X15" s="362" t="s">
        <v>256</v>
      </c>
      <c r="Y15" s="362" t="s">
        <v>284</v>
      </c>
      <c r="Z15" s="362" t="s">
        <v>256</v>
      </c>
      <c r="AA15" s="362" t="s">
        <v>256</v>
      </c>
      <c r="AB15" s="362" t="s">
        <v>256</v>
      </c>
      <c r="AC15" s="362" t="s">
        <v>256</v>
      </c>
      <c r="AD15" s="362" t="s">
        <v>256</v>
      </c>
      <c r="AE15" s="362" t="s">
        <v>256</v>
      </c>
      <c r="AF15" s="362" t="s">
        <v>256</v>
      </c>
      <c r="AG15" s="362" t="s">
        <v>256</v>
      </c>
      <c r="AH15" s="362" t="s">
        <v>256</v>
      </c>
      <c r="AI15" s="362" t="s">
        <v>256</v>
      </c>
      <c r="AJ15" s="362" t="s">
        <v>248</v>
      </c>
      <c r="AK15" s="362" t="s">
        <v>259</v>
      </c>
      <c r="AL15" s="362" t="s">
        <v>259</v>
      </c>
      <c r="AM15" s="362" t="s">
        <v>251</v>
      </c>
      <c r="AN15" s="362" t="s">
        <v>256</v>
      </c>
      <c r="AO15" s="362" t="s">
        <v>259</v>
      </c>
      <c r="AP15" s="362" t="s">
        <v>251</v>
      </c>
      <c r="AQ15" s="362" t="s">
        <v>256</v>
      </c>
      <c r="AR15" s="362" t="s">
        <v>256</v>
      </c>
      <c r="AS15" s="362" t="s">
        <v>285</v>
      </c>
      <c r="AT15" s="362" t="s">
        <v>259</v>
      </c>
      <c r="AU15" s="362" t="s">
        <v>284</v>
      </c>
      <c r="AV15" s="362" t="s">
        <v>259</v>
      </c>
      <c r="AW15" s="362" t="s">
        <v>256</v>
      </c>
      <c r="AX15" s="362" t="s">
        <v>256</v>
      </c>
      <c r="AY15" s="362" t="s">
        <v>256</v>
      </c>
      <c r="AZ15" s="362" t="s">
        <v>256</v>
      </c>
      <c r="BA15" s="362" t="s">
        <v>256</v>
      </c>
      <c r="BB15" s="362" t="s">
        <v>259</v>
      </c>
      <c r="BC15" s="362" t="s">
        <v>286</v>
      </c>
      <c r="BD15" s="362" t="s">
        <v>248</v>
      </c>
      <c r="BE15" s="362" t="s">
        <v>259</v>
      </c>
      <c r="BF15" s="362" t="s">
        <v>248</v>
      </c>
      <c r="BG15" s="362" t="s">
        <v>256</v>
      </c>
      <c r="BH15" s="362" t="s">
        <v>256</v>
      </c>
      <c r="BI15" s="362" t="s">
        <v>256</v>
      </c>
      <c r="BJ15" s="362" t="s">
        <v>256</v>
      </c>
      <c r="BK15" s="362" t="s">
        <v>256</v>
      </c>
      <c r="BL15" s="362" t="s">
        <v>256</v>
      </c>
      <c r="BM15" s="362" t="s">
        <v>259</v>
      </c>
      <c r="BN15" s="362" t="s">
        <v>256</v>
      </c>
      <c r="BO15" s="362" t="s">
        <v>259</v>
      </c>
      <c r="BP15" s="362" t="s">
        <v>284</v>
      </c>
      <c r="BQ15" s="362" t="s">
        <v>256</v>
      </c>
      <c r="BR15" s="362" t="s">
        <v>256</v>
      </c>
      <c r="BS15" s="362" t="s">
        <v>256</v>
      </c>
      <c r="BT15" s="362" t="s">
        <v>284</v>
      </c>
      <c r="BU15" s="362" t="s">
        <v>256</v>
      </c>
      <c r="BV15" s="362" t="s">
        <v>248</v>
      </c>
      <c r="BW15" s="362" t="s">
        <v>285</v>
      </c>
      <c r="BX15" s="362" t="s">
        <v>287</v>
      </c>
      <c r="BY15" s="362" t="s">
        <v>259</v>
      </c>
      <c r="BZ15" s="362" t="s">
        <v>259</v>
      </c>
      <c r="CA15" s="362">
        <v>5.2</v>
      </c>
      <c r="CB15" s="362">
        <v>1.1000000000000001</v>
      </c>
      <c r="CC15" s="362">
        <v>458</v>
      </c>
      <c r="CD15" s="362" t="s">
        <v>230</v>
      </c>
      <c r="CE15" s="362" t="s">
        <v>254</v>
      </c>
      <c r="CF15" s="362">
        <v>3.1</v>
      </c>
      <c r="CG15" s="362">
        <v>5.0999999999999996</v>
      </c>
      <c r="CH15" s="362">
        <v>1690</v>
      </c>
      <c r="CI15" s="362">
        <v>20</v>
      </c>
      <c r="CJ15" s="362" t="s">
        <v>254</v>
      </c>
      <c r="CK15" s="362">
        <v>133</v>
      </c>
      <c r="CL15" s="362">
        <v>130</v>
      </c>
      <c r="CM15" s="362">
        <v>6.5000000000000002E-2</v>
      </c>
      <c r="CN15" s="362" t="s">
        <v>288</v>
      </c>
      <c r="CO15" s="362">
        <v>15</v>
      </c>
      <c r="CP15" s="362">
        <v>25</v>
      </c>
      <c r="CQ15" s="362" t="s">
        <v>254</v>
      </c>
      <c r="CR15" s="362" t="s">
        <v>254</v>
      </c>
      <c r="CS15" s="362">
        <v>5.7</v>
      </c>
      <c r="CT15" s="362" t="s">
        <v>284</v>
      </c>
      <c r="CU15" s="362">
        <v>0.12</v>
      </c>
      <c r="CV15" s="362">
        <v>310</v>
      </c>
      <c r="CW15" s="362">
        <v>0.87</v>
      </c>
      <c r="CX15" s="362">
        <v>0.63</v>
      </c>
      <c r="CY15" s="362">
        <v>0.16</v>
      </c>
      <c r="CZ15" s="362">
        <v>7.89</v>
      </c>
      <c r="DA15" s="362">
        <v>0.73</v>
      </c>
      <c r="DB15" s="362">
        <v>4200</v>
      </c>
      <c r="DC15" s="362">
        <v>1500</v>
      </c>
      <c r="DD15" s="362">
        <v>22.6</v>
      </c>
      <c r="DE15" s="362">
        <v>2900</v>
      </c>
      <c r="DF15" s="362" t="s">
        <v>296</v>
      </c>
      <c r="DG15" s="362">
        <v>2.5</v>
      </c>
      <c r="DH15" s="362">
        <v>0.27</v>
      </c>
      <c r="DI15" s="362">
        <v>550</v>
      </c>
      <c r="DJ15" s="362">
        <v>290</v>
      </c>
      <c r="DK15" s="362">
        <v>290</v>
      </c>
      <c r="DL15" s="362" t="s">
        <v>307</v>
      </c>
      <c r="DM15" s="362">
        <v>8.35</v>
      </c>
      <c r="DN15" s="362">
        <v>7.35</v>
      </c>
      <c r="DO15" s="362">
        <v>3846.5</v>
      </c>
      <c r="DP15" s="362">
        <v>27.12</v>
      </c>
      <c r="DQ15" s="362">
        <v>1.66</v>
      </c>
    </row>
    <row r="16" spans="1:121" hidden="1" x14ac:dyDescent="0.25">
      <c r="A16" s="362" t="s">
        <v>150</v>
      </c>
      <c r="B16" s="56" t="str">
        <f>VLOOKUP(Table3[[#This Row],[Station]], StationName, 2, FALSE)</f>
        <v>L03-073-3</v>
      </c>
      <c r="C16" s="362">
        <v>1717005</v>
      </c>
      <c r="D16" s="221">
        <v>44341.503472222219</v>
      </c>
      <c r="E16" s="362" t="s">
        <v>293</v>
      </c>
      <c r="F16" s="362" t="s">
        <v>294</v>
      </c>
      <c r="G16" s="362" t="s">
        <v>294</v>
      </c>
      <c r="H16" s="362" t="s">
        <v>294</v>
      </c>
      <c r="I16" s="362" t="s">
        <v>294</v>
      </c>
      <c r="J16" s="362" t="s">
        <v>294</v>
      </c>
      <c r="K16" s="362" t="s">
        <v>294</v>
      </c>
      <c r="L16" s="362" t="s">
        <v>294</v>
      </c>
      <c r="M16" s="362" t="s">
        <v>294</v>
      </c>
      <c r="N16" s="362" t="s">
        <v>294</v>
      </c>
      <c r="O16" s="362" t="s">
        <v>294</v>
      </c>
      <c r="P16" s="362" t="s">
        <v>294</v>
      </c>
      <c r="Q16" s="362" t="s">
        <v>294</v>
      </c>
      <c r="R16" s="362" t="s">
        <v>294</v>
      </c>
      <c r="S16" s="362" t="s">
        <v>294</v>
      </c>
      <c r="T16" s="362" t="s">
        <v>294</v>
      </c>
      <c r="U16" s="362" t="s">
        <v>294</v>
      </c>
      <c r="V16" s="362" t="s">
        <v>294</v>
      </c>
      <c r="W16" s="362" t="s">
        <v>294</v>
      </c>
      <c r="X16" s="362" t="s">
        <v>294</v>
      </c>
      <c r="Y16" s="362" t="s">
        <v>294</v>
      </c>
      <c r="Z16" s="362" t="s">
        <v>294</v>
      </c>
      <c r="AA16" s="362" t="s">
        <v>294</v>
      </c>
      <c r="AB16" s="362" t="s">
        <v>294</v>
      </c>
      <c r="AC16" s="362" t="s">
        <v>294</v>
      </c>
      <c r="AD16" s="362" t="s">
        <v>294</v>
      </c>
      <c r="AE16" s="362" t="s">
        <v>294</v>
      </c>
      <c r="AF16" s="362" t="s">
        <v>294</v>
      </c>
      <c r="AG16" s="362" t="s">
        <v>294</v>
      </c>
      <c r="AH16" s="362" t="s">
        <v>294</v>
      </c>
      <c r="AI16" s="362" t="s">
        <v>294</v>
      </c>
      <c r="AJ16" s="362" t="s">
        <v>294</v>
      </c>
      <c r="AK16" s="362" t="s">
        <v>294</v>
      </c>
      <c r="AL16" s="362" t="s">
        <v>294</v>
      </c>
      <c r="AM16" s="362" t="s">
        <v>294</v>
      </c>
      <c r="AN16" s="362" t="s">
        <v>294</v>
      </c>
      <c r="AO16" s="362" t="s">
        <v>294</v>
      </c>
      <c r="AP16" s="362" t="s">
        <v>294</v>
      </c>
      <c r="AQ16" s="362" t="s">
        <v>294</v>
      </c>
      <c r="AR16" s="362" t="s">
        <v>294</v>
      </c>
      <c r="AS16" s="362" t="s">
        <v>294</v>
      </c>
      <c r="AT16" s="362" t="s">
        <v>294</v>
      </c>
      <c r="AU16" s="362" t="s">
        <v>294</v>
      </c>
      <c r="AV16" s="362" t="s">
        <v>294</v>
      </c>
      <c r="AW16" s="362" t="s">
        <v>294</v>
      </c>
      <c r="AX16" s="362" t="s">
        <v>294</v>
      </c>
      <c r="AY16" s="362" t="s">
        <v>294</v>
      </c>
      <c r="AZ16" s="362" t="s">
        <v>294</v>
      </c>
      <c r="BA16" s="362" t="s">
        <v>294</v>
      </c>
      <c r="BB16" s="362" t="s">
        <v>294</v>
      </c>
      <c r="BC16" s="362" t="s">
        <v>294</v>
      </c>
      <c r="BD16" s="362" t="s">
        <v>294</v>
      </c>
      <c r="BE16" s="362" t="s">
        <v>294</v>
      </c>
      <c r="BF16" s="362" t="s">
        <v>294</v>
      </c>
      <c r="BG16" s="362" t="s">
        <v>294</v>
      </c>
      <c r="BH16" s="362" t="s">
        <v>294</v>
      </c>
      <c r="BI16" s="362" t="s">
        <v>294</v>
      </c>
      <c r="BJ16" s="362" t="s">
        <v>294</v>
      </c>
      <c r="BK16" s="362" t="s">
        <v>294</v>
      </c>
      <c r="BL16" s="362" t="s">
        <v>294</v>
      </c>
      <c r="BM16" s="362" t="s">
        <v>294</v>
      </c>
      <c r="BN16" s="362" t="s">
        <v>294</v>
      </c>
      <c r="BO16" s="362" t="s">
        <v>294</v>
      </c>
      <c r="BP16" s="362" t="s">
        <v>294</v>
      </c>
      <c r="BQ16" s="362" t="s">
        <v>294</v>
      </c>
      <c r="BR16" s="362" t="s">
        <v>294</v>
      </c>
      <c r="BS16" s="362" t="s">
        <v>294</v>
      </c>
      <c r="BT16" s="362" t="s">
        <v>294</v>
      </c>
      <c r="BU16" s="362" t="s">
        <v>294</v>
      </c>
      <c r="BV16" s="362" t="s">
        <v>294</v>
      </c>
      <c r="BW16" s="362" t="s">
        <v>294</v>
      </c>
      <c r="BX16" s="362" t="s">
        <v>294</v>
      </c>
      <c r="BY16" s="362" t="s">
        <v>294</v>
      </c>
      <c r="BZ16" s="362" t="s">
        <v>294</v>
      </c>
      <c r="CA16" s="362">
        <v>5</v>
      </c>
      <c r="CB16" s="362">
        <v>1</v>
      </c>
      <c r="CC16" s="362" t="s">
        <v>294</v>
      </c>
      <c r="CD16" s="362" t="s">
        <v>230</v>
      </c>
      <c r="CE16" s="362" t="s">
        <v>254</v>
      </c>
      <c r="CF16" s="362">
        <v>3.3</v>
      </c>
      <c r="CG16" s="362" t="s">
        <v>294</v>
      </c>
      <c r="CH16" s="362" t="s">
        <v>294</v>
      </c>
      <c r="CI16" s="362" t="s">
        <v>286</v>
      </c>
      <c r="CJ16" s="362" t="s">
        <v>254</v>
      </c>
      <c r="CK16" s="362" t="s">
        <v>294</v>
      </c>
      <c r="CL16" s="362">
        <v>130</v>
      </c>
      <c r="CM16" s="362" t="s">
        <v>294</v>
      </c>
      <c r="CN16" s="362" t="s">
        <v>288</v>
      </c>
      <c r="CO16" s="362">
        <v>14</v>
      </c>
      <c r="CP16" s="362">
        <v>25</v>
      </c>
      <c r="CQ16" s="362" t="s">
        <v>254</v>
      </c>
      <c r="CR16" s="362" t="s">
        <v>254</v>
      </c>
      <c r="CS16" s="362" t="s">
        <v>294</v>
      </c>
      <c r="CT16" s="362" t="s">
        <v>284</v>
      </c>
      <c r="CU16" s="362" t="s">
        <v>294</v>
      </c>
      <c r="CV16" s="362" t="s">
        <v>294</v>
      </c>
      <c r="CW16" s="362" t="s">
        <v>294</v>
      </c>
      <c r="CX16" s="362" t="s">
        <v>294</v>
      </c>
      <c r="CY16" s="362" t="s">
        <v>294</v>
      </c>
      <c r="CZ16" s="362" t="s">
        <v>294</v>
      </c>
      <c r="DA16" s="362" t="s">
        <v>294</v>
      </c>
      <c r="DB16" s="362" t="s">
        <v>294</v>
      </c>
      <c r="DC16" s="362" t="s">
        <v>294</v>
      </c>
      <c r="DD16" s="362" t="s">
        <v>294</v>
      </c>
      <c r="DE16" s="362" t="s">
        <v>294</v>
      </c>
      <c r="DF16" s="362" t="s">
        <v>294</v>
      </c>
      <c r="DG16" s="362" t="s">
        <v>294</v>
      </c>
      <c r="DH16" s="362" t="s">
        <v>294</v>
      </c>
      <c r="DI16" s="362" t="s">
        <v>294</v>
      </c>
      <c r="DJ16" s="362" t="s">
        <v>294</v>
      </c>
      <c r="DK16" s="362" t="s">
        <v>294</v>
      </c>
      <c r="DL16" s="362" t="s">
        <v>294</v>
      </c>
      <c r="DM16" s="362" t="s">
        <v>294</v>
      </c>
      <c r="DN16" s="362" t="s">
        <v>294</v>
      </c>
      <c r="DO16" s="362" t="s">
        <v>294</v>
      </c>
      <c r="DP16" s="362" t="s">
        <v>294</v>
      </c>
      <c r="DQ16" s="362" t="s">
        <v>294</v>
      </c>
    </row>
    <row r="17" spans="1:121" x14ac:dyDescent="0.25">
      <c r="A17" s="362" t="s">
        <v>308</v>
      </c>
      <c r="B17" s="56" t="str">
        <f>VLOOKUP(Table3[[#This Row],[Station]], StationName, 2, FALSE)</f>
        <v>J01-9131-1 (J01P28)</v>
      </c>
      <c r="C17" s="362">
        <v>1720002</v>
      </c>
      <c r="D17" s="221">
        <v>44342.31527777778</v>
      </c>
      <c r="E17" s="362" t="s">
        <v>283</v>
      </c>
      <c r="F17" s="362">
        <v>68</v>
      </c>
      <c r="G17" s="362">
        <v>83</v>
      </c>
      <c r="H17" s="362">
        <v>100</v>
      </c>
      <c r="I17" s="362">
        <v>78</v>
      </c>
      <c r="J17" s="362">
        <v>54</v>
      </c>
      <c r="K17" s="362">
        <v>66</v>
      </c>
      <c r="L17" s="362">
        <v>68</v>
      </c>
      <c r="M17" s="362">
        <v>62</v>
      </c>
      <c r="N17" s="362">
        <v>60</v>
      </c>
      <c r="O17" s="362" t="s">
        <v>259</v>
      </c>
      <c r="P17" s="362" t="s">
        <v>259</v>
      </c>
      <c r="Q17" s="362" t="s">
        <v>259</v>
      </c>
      <c r="R17" s="362" t="s">
        <v>259</v>
      </c>
      <c r="S17" s="362" t="s">
        <v>259</v>
      </c>
      <c r="T17" s="362" t="s">
        <v>259</v>
      </c>
      <c r="U17" s="362" t="s">
        <v>256</v>
      </c>
      <c r="V17" s="362" t="s">
        <v>256</v>
      </c>
      <c r="W17" s="362" t="s">
        <v>256</v>
      </c>
      <c r="X17" s="362" t="s">
        <v>256</v>
      </c>
      <c r="Y17" s="362" t="s">
        <v>284</v>
      </c>
      <c r="Z17" s="362" t="s">
        <v>256</v>
      </c>
      <c r="AA17" s="362" t="s">
        <v>256</v>
      </c>
      <c r="AB17" s="362" t="s">
        <v>256</v>
      </c>
      <c r="AC17" s="362">
        <v>4.8</v>
      </c>
      <c r="AD17" s="362" t="s">
        <v>256</v>
      </c>
      <c r="AE17" s="362" t="s">
        <v>256</v>
      </c>
      <c r="AF17" s="362" t="s">
        <v>256</v>
      </c>
      <c r="AG17" s="362" t="s">
        <v>256</v>
      </c>
      <c r="AH17" s="362" t="s">
        <v>256</v>
      </c>
      <c r="AI17" s="362" t="s">
        <v>256</v>
      </c>
      <c r="AJ17" s="362" t="s">
        <v>248</v>
      </c>
      <c r="AK17" s="362" t="s">
        <v>259</v>
      </c>
      <c r="AL17" s="362" t="s">
        <v>259</v>
      </c>
      <c r="AM17" s="362" t="s">
        <v>251</v>
      </c>
      <c r="AN17" s="362" t="s">
        <v>256</v>
      </c>
      <c r="AO17" s="362" t="s">
        <v>259</v>
      </c>
      <c r="AP17" s="362" t="s">
        <v>251</v>
      </c>
      <c r="AQ17" s="362" t="s">
        <v>256</v>
      </c>
      <c r="AR17" s="362" t="s">
        <v>256</v>
      </c>
      <c r="AS17" s="362" t="s">
        <v>285</v>
      </c>
      <c r="AT17" s="362" t="s">
        <v>259</v>
      </c>
      <c r="AU17" s="362" t="s">
        <v>284</v>
      </c>
      <c r="AV17" s="362" t="s">
        <v>259</v>
      </c>
      <c r="AW17" s="362" t="s">
        <v>256</v>
      </c>
      <c r="AX17" s="362" t="s">
        <v>256</v>
      </c>
      <c r="AY17" s="362" t="s">
        <v>256</v>
      </c>
      <c r="AZ17" s="362" t="s">
        <v>256</v>
      </c>
      <c r="BA17" s="362" t="s">
        <v>256</v>
      </c>
      <c r="BB17" s="362" t="s">
        <v>259</v>
      </c>
      <c r="BC17" s="362" t="s">
        <v>286</v>
      </c>
      <c r="BD17" s="362" t="s">
        <v>248</v>
      </c>
      <c r="BE17" s="362" t="s">
        <v>259</v>
      </c>
      <c r="BF17" s="362" t="s">
        <v>248</v>
      </c>
      <c r="BG17" s="362" t="s">
        <v>256</v>
      </c>
      <c r="BH17" s="362" t="s">
        <v>256</v>
      </c>
      <c r="BI17" s="362" t="s">
        <v>256</v>
      </c>
      <c r="BJ17" s="362" t="s">
        <v>256</v>
      </c>
      <c r="BK17" s="362" t="s">
        <v>256</v>
      </c>
      <c r="BL17" s="362" t="s">
        <v>256</v>
      </c>
      <c r="BM17" s="362" t="s">
        <v>259</v>
      </c>
      <c r="BN17" s="362" t="s">
        <v>256</v>
      </c>
      <c r="BO17" s="362" t="s">
        <v>259</v>
      </c>
      <c r="BP17" s="362" t="s">
        <v>284</v>
      </c>
      <c r="BQ17" s="362" t="s">
        <v>256</v>
      </c>
      <c r="BR17" s="362" t="s">
        <v>256</v>
      </c>
      <c r="BS17" s="362" t="s">
        <v>256</v>
      </c>
      <c r="BT17" s="362" t="s">
        <v>284</v>
      </c>
      <c r="BU17" s="362" t="s">
        <v>256</v>
      </c>
      <c r="BV17" s="362" t="s">
        <v>248</v>
      </c>
      <c r="BW17" s="362" t="s">
        <v>285</v>
      </c>
      <c r="BX17" s="362" t="s">
        <v>287</v>
      </c>
      <c r="BY17" s="362" t="s">
        <v>259</v>
      </c>
      <c r="BZ17" s="362" t="s">
        <v>259</v>
      </c>
      <c r="CA17" s="362">
        <v>4.9000000000000004</v>
      </c>
      <c r="CB17" s="362">
        <v>1.9</v>
      </c>
      <c r="CC17" s="362">
        <v>131</v>
      </c>
      <c r="CD17" s="362" t="s">
        <v>230</v>
      </c>
      <c r="CE17" s="362">
        <v>0.56999999999999995</v>
      </c>
      <c r="CF17" s="362">
        <v>9.1999999999999993</v>
      </c>
      <c r="CG17" s="362">
        <v>20</v>
      </c>
      <c r="CH17" s="362">
        <v>528</v>
      </c>
      <c r="CI17" s="362">
        <v>240</v>
      </c>
      <c r="CJ17" s="362" t="s">
        <v>254</v>
      </c>
      <c r="CK17" s="362">
        <v>48.6</v>
      </c>
      <c r="CL17" s="362">
        <v>11</v>
      </c>
      <c r="CM17" s="362">
        <v>0.11</v>
      </c>
      <c r="CN17" s="362" t="s">
        <v>288</v>
      </c>
      <c r="CO17" s="362">
        <v>17</v>
      </c>
      <c r="CP17" s="362">
        <v>6.2</v>
      </c>
      <c r="CQ17" s="362" t="s">
        <v>254</v>
      </c>
      <c r="CR17" s="362" t="s">
        <v>254</v>
      </c>
      <c r="CS17" s="362">
        <v>20</v>
      </c>
      <c r="CT17" s="362">
        <v>43</v>
      </c>
      <c r="CU17" s="362">
        <v>15</v>
      </c>
      <c r="CV17" s="362">
        <v>310</v>
      </c>
      <c r="CW17" s="362">
        <v>12</v>
      </c>
      <c r="CX17" s="362">
        <v>21</v>
      </c>
      <c r="CY17" s="362">
        <v>0.75</v>
      </c>
      <c r="CZ17" s="362">
        <v>7.62</v>
      </c>
      <c r="DA17" s="362">
        <v>3.8</v>
      </c>
      <c r="DB17" s="362">
        <v>2800</v>
      </c>
      <c r="DC17" s="362">
        <v>440</v>
      </c>
      <c r="DD17" s="362">
        <v>22.7</v>
      </c>
      <c r="DE17" s="362">
        <v>1400</v>
      </c>
      <c r="DF17" s="362" t="s">
        <v>309</v>
      </c>
      <c r="DG17" s="362">
        <v>7.5</v>
      </c>
      <c r="DH17" s="362">
        <v>5.7</v>
      </c>
      <c r="DI17" s="362">
        <v>12800</v>
      </c>
      <c r="DJ17" s="362">
        <v>5000</v>
      </c>
      <c r="DK17" s="362">
        <v>6100</v>
      </c>
      <c r="DL17" s="362" t="s">
        <v>310</v>
      </c>
      <c r="DM17" s="362">
        <v>7.34</v>
      </c>
      <c r="DN17" s="362">
        <v>7.9</v>
      </c>
      <c r="DO17" s="362">
        <v>3281</v>
      </c>
      <c r="DP17" s="362">
        <v>19.059999999999999</v>
      </c>
      <c r="DQ17" s="362">
        <v>7.53</v>
      </c>
    </row>
    <row r="18" spans="1:121" hidden="1" x14ac:dyDescent="0.25">
      <c r="A18" s="362" t="s">
        <v>308</v>
      </c>
      <c r="B18" s="56" t="str">
        <f>VLOOKUP(Table3[[#This Row],[Station]], StationName, 2, FALSE)</f>
        <v>J01-9131-1 (J01P28)</v>
      </c>
      <c r="C18" s="362">
        <v>1720006</v>
      </c>
      <c r="D18" s="221">
        <v>44342.31527777778</v>
      </c>
      <c r="E18" s="362" t="s">
        <v>293</v>
      </c>
      <c r="F18" s="362" t="s">
        <v>294</v>
      </c>
      <c r="G18" s="362" t="s">
        <v>294</v>
      </c>
      <c r="H18" s="362" t="s">
        <v>294</v>
      </c>
      <c r="I18" s="362" t="s">
        <v>294</v>
      </c>
      <c r="J18" s="362" t="s">
        <v>294</v>
      </c>
      <c r="K18" s="362" t="s">
        <v>294</v>
      </c>
      <c r="L18" s="362" t="s">
        <v>294</v>
      </c>
      <c r="M18" s="362" t="s">
        <v>294</v>
      </c>
      <c r="N18" s="362" t="s">
        <v>294</v>
      </c>
      <c r="O18" s="362" t="s">
        <v>294</v>
      </c>
      <c r="P18" s="362" t="s">
        <v>294</v>
      </c>
      <c r="Q18" s="362" t="s">
        <v>294</v>
      </c>
      <c r="R18" s="362" t="s">
        <v>294</v>
      </c>
      <c r="S18" s="362" t="s">
        <v>294</v>
      </c>
      <c r="T18" s="362" t="s">
        <v>294</v>
      </c>
      <c r="U18" s="362" t="s">
        <v>294</v>
      </c>
      <c r="V18" s="362" t="s">
        <v>294</v>
      </c>
      <c r="W18" s="362" t="s">
        <v>294</v>
      </c>
      <c r="X18" s="362" t="s">
        <v>294</v>
      </c>
      <c r="Y18" s="362" t="s">
        <v>294</v>
      </c>
      <c r="Z18" s="362" t="s">
        <v>294</v>
      </c>
      <c r="AA18" s="362" t="s">
        <v>294</v>
      </c>
      <c r="AB18" s="362" t="s">
        <v>294</v>
      </c>
      <c r="AC18" s="362" t="s">
        <v>294</v>
      </c>
      <c r="AD18" s="362" t="s">
        <v>294</v>
      </c>
      <c r="AE18" s="362" t="s">
        <v>294</v>
      </c>
      <c r="AF18" s="362" t="s">
        <v>294</v>
      </c>
      <c r="AG18" s="362" t="s">
        <v>294</v>
      </c>
      <c r="AH18" s="362" t="s">
        <v>294</v>
      </c>
      <c r="AI18" s="362" t="s">
        <v>294</v>
      </c>
      <c r="AJ18" s="362" t="s">
        <v>294</v>
      </c>
      <c r="AK18" s="362" t="s">
        <v>294</v>
      </c>
      <c r="AL18" s="362" t="s">
        <v>294</v>
      </c>
      <c r="AM18" s="362" t="s">
        <v>294</v>
      </c>
      <c r="AN18" s="362" t="s">
        <v>294</v>
      </c>
      <c r="AO18" s="362" t="s">
        <v>294</v>
      </c>
      <c r="AP18" s="362" t="s">
        <v>294</v>
      </c>
      <c r="AQ18" s="362" t="s">
        <v>294</v>
      </c>
      <c r="AR18" s="362" t="s">
        <v>294</v>
      </c>
      <c r="AS18" s="362" t="s">
        <v>294</v>
      </c>
      <c r="AT18" s="362" t="s">
        <v>294</v>
      </c>
      <c r="AU18" s="362" t="s">
        <v>294</v>
      </c>
      <c r="AV18" s="362" t="s">
        <v>294</v>
      </c>
      <c r="AW18" s="362" t="s">
        <v>294</v>
      </c>
      <c r="AX18" s="362" t="s">
        <v>294</v>
      </c>
      <c r="AY18" s="362" t="s">
        <v>294</v>
      </c>
      <c r="AZ18" s="362" t="s">
        <v>294</v>
      </c>
      <c r="BA18" s="362" t="s">
        <v>294</v>
      </c>
      <c r="BB18" s="362" t="s">
        <v>294</v>
      </c>
      <c r="BC18" s="362" t="s">
        <v>294</v>
      </c>
      <c r="BD18" s="362" t="s">
        <v>294</v>
      </c>
      <c r="BE18" s="362" t="s">
        <v>294</v>
      </c>
      <c r="BF18" s="362" t="s">
        <v>294</v>
      </c>
      <c r="BG18" s="362" t="s">
        <v>294</v>
      </c>
      <c r="BH18" s="362" t="s">
        <v>294</v>
      </c>
      <c r="BI18" s="362" t="s">
        <v>294</v>
      </c>
      <c r="BJ18" s="362" t="s">
        <v>294</v>
      </c>
      <c r="BK18" s="362" t="s">
        <v>294</v>
      </c>
      <c r="BL18" s="362" t="s">
        <v>294</v>
      </c>
      <c r="BM18" s="362" t="s">
        <v>294</v>
      </c>
      <c r="BN18" s="362" t="s">
        <v>294</v>
      </c>
      <c r="BO18" s="362" t="s">
        <v>294</v>
      </c>
      <c r="BP18" s="362" t="s">
        <v>294</v>
      </c>
      <c r="BQ18" s="362" t="s">
        <v>294</v>
      </c>
      <c r="BR18" s="362" t="s">
        <v>294</v>
      </c>
      <c r="BS18" s="362" t="s">
        <v>294</v>
      </c>
      <c r="BT18" s="362" t="s">
        <v>294</v>
      </c>
      <c r="BU18" s="362" t="s">
        <v>294</v>
      </c>
      <c r="BV18" s="362" t="s">
        <v>294</v>
      </c>
      <c r="BW18" s="362" t="s">
        <v>294</v>
      </c>
      <c r="BX18" s="362" t="s">
        <v>294</v>
      </c>
      <c r="BY18" s="362" t="s">
        <v>294</v>
      </c>
      <c r="BZ18" s="362" t="s">
        <v>294</v>
      </c>
      <c r="CA18" s="362">
        <v>4.9000000000000004</v>
      </c>
      <c r="CB18" s="362">
        <v>2.1</v>
      </c>
      <c r="CC18" s="362" t="s">
        <v>294</v>
      </c>
      <c r="CD18" s="362" t="s">
        <v>230</v>
      </c>
      <c r="CE18" s="362">
        <v>0.35</v>
      </c>
      <c r="CF18" s="362">
        <v>9.8000000000000007</v>
      </c>
      <c r="CG18" s="362" t="s">
        <v>294</v>
      </c>
      <c r="CH18" s="362" t="s">
        <v>294</v>
      </c>
      <c r="CI18" s="362">
        <v>74</v>
      </c>
      <c r="CJ18" s="362" t="s">
        <v>254</v>
      </c>
      <c r="CK18" s="362" t="s">
        <v>294</v>
      </c>
      <c r="CL18" s="362">
        <v>8.3000000000000007</v>
      </c>
      <c r="CM18" s="362" t="s">
        <v>294</v>
      </c>
      <c r="CN18" s="362" t="s">
        <v>288</v>
      </c>
      <c r="CO18" s="362">
        <v>16</v>
      </c>
      <c r="CP18" s="362">
        <v>6.2</v>
      </c>
      <c r="CQ18" s="362" t="s">
        <v>254</v>
      </c>
      <c r="CR18" s="362" t="s">
        <v>254</v>
      </c>
      <c r="CS18" s="362" t="s">
        <v>294</v>
      </c>
      <c r="CT18" s="362">
        <v>41</v>
      </c>
      <c r="CU18" s="362" t="s">
        <v>294</v>
      </c>
      <c r="CV18" s="362" t="s">
        <v>294</v>
      </c>
      <c r="CW18" s="362" t="s">
        <v>294</v>
      </c>
      <c r="CX18" s="362" t="s">
        <v>294</v>
      </c>
      <c r="CY18" s="362" t="s">
        <v>294</v>
      </c>
      <c r="CZ18" s="362" t="s">
        <v>294</v>
      </c>
      <c r="DA18" s="362" t="s">
        <v>294</v>
      </c>
      <c r="DB18" s="362" t="s">
        <v>294</v>
      </c>
      <c r="DC18" s="362" t="s">
        <v>294</v>
      </c>
      <c r="DD18" s="362" t="s">
        <v>294</v>
      </c>
      <c r="DE18" s="362" t="s">
        <v>294</v>
      </c>
      <c r="DF18" s="362" t="s">
        <v>294</v>
      </c>
      <c r="DG18" s="362" t="s">
        <v>294</v>
      </c>
      <c r="DH18" s="362" t="s">
        <v>294</v>
      </c>
      <c r="DI18" s="362" t="s">
        <v>294</v>
      </c>
      <c r="DJ18" s="362" t="s">
        <v>294</v>
      </c>
      <c r="DK18" s="362" t="s">
        <v>294</v>
      </c>
      <c r="DL18" s="362" t="s">
        <v>294</v>
      </c>
      <c r="DM18" s="362" t="s">
        <v>294</v>
      </c>
      <c r="DN18" s="362" t="s">
        <v>294</v>
      </c>
      <c r="DO18" s="362" t="s">
        <v>294</v>
      </c>
      <c r="DP18" s="362" t="s">
        <v>294</v>
      </c>
      <c r="DQ18" s="362" t="s">
        <v>294</v>
      </c>
    </row>
    <row r="19" spans="1:121" x14ac:dyDescent="0.25">
      <c r="A19" s="362" t="s">
        <v>311</v>
      </c>
      <c r="B19" s="56" t="str">
        <f>VLOOKUP(Table3[[#This Row],[Station]], StationName, 2, FALSE)</f>
        <v>J06-9079-1 (J06P03)</v>
      </c>
      <c r="C19" s="362">
        <v>1719002</v>
      </c>
      <c r="D19" s="221">
        <v>44342.327777777777</v>
      </c>
      <c r="E19" s="362" t="s">
        <v>283</v>
      </c>
      <c r="F19" s="362">
        <v>80</v>
      </c>
      <c r="G19" s="362">
        <v>96</v>
      </c>
      <c r="H19" s="362">
        <v>110</v>
      </c>
      <c r="I19" s="362">
        <v>97</v>
      </c>
      <c r="J19" s="362">
        <v>70</v>
      </c>
      <c r="K19" s="362">
        <v>60</v>
      </c>
      <c r="L19" s="362">
        <v>78</v>
      </c>
      <c r="M19" s="362">
        <v>76</v>
      </c>
      <c r="N19" s="362">
        <v>52</v>
      </c>
      <c r="O19" s="362" t="s">
        <v>259</v>
      </c>
      <c r="P19" s="362" t="s">
        <v>259</v>
      </c>
      <c r="Q19" s="362" t="s">
        <v>259</v>
      </c>
      <c r="R19" s="362" t="s">
        <v>259</v>
      </c>
      <c r="S19" s="362" t="s">
        <v>259</v>
      </c>
      <c r="T19" s="362" t="s">
        <v>259</v>
      </c>
      <c r="U19" s="362" t="s">
        <v>256</v>
      </c>
      <c r="V19" s="362" t="s">
        <v>256</v>
      </c>
      <c r="W19" s="362" t="s">
        <v>256</v>
      </c>
      <c r="X19" s="362" t="s">
        <v>256</v>
      </c>
      <c r="Y19" s="362" t="s">
        <v>284</v>
      </c>
      <c r="Z19" s="362" t="s">
        <v>256</v>
      </c>
      <c r="AA19" s="362" t="s">
        <v>256</v>
      </c>
      <c r="AB19" s="362" t="s">
        <v>256</v>
      </c>
      <c r="AC19" s="362" t="s">
        <v>256</v>
      </c>
      <c r="AD19" s="362" t="s">
        <v>256</v>
      </c>
      <c r="AE19" s="362" t="s">
        <v>256</v>
      </c>
      <c r="AF19" s="362" t="s">
        <v>256</v>
      </c>
      <c r="AG19" s="362" t="s">
        <v>256</v>
      </c>
      <c r="AH19" s="362" t="s">
        <v>256</v>
      </c>
      <c r="AI19" s="362" t="s">
        <v>256</v>
      </c>
      <c r="AJ19" s="362" t="s">
        <v>248</v>
      </c>
      <c r="AK19" s="362" t="s">
        <v>259</v>
      </c>
      <c r="AL19" s="362" t="s">
        <v>259</v>
      </c>
      <c r="AM19" s="362" t="s">
        <v>251</v>
      </c>
      <c r="AN19" s="362" t="s">
        <v>256</v>
      </c>
      <c r="AO19" s="362" t="s">
        <v>259</v>
      </c>
      <c r="AP19" s="362" t="s">
        <v>251</v>
      </c>
      <c r="AQ19" s="362" t="s">
        <v>256</v>
      </c>
      <c r="AR19" s="362" t="s">
        <v>256</v>
      </c>
      <c r="AS19" s="362" t="s">
        <v>285</v>
      </c>
      <c r="AT19" s="362" t="s">
        <v>259</v>
      </c>
      <c r="AU19" s="362" t="s">
        <v>284</v>
      </c>
      <c r="AV19" s="362" t="s">
        <v>259</v>
      </c>
      <c r="AW19" s="362" t="s">
        <v>256</v>
      </c>
      <c r="AX19" s="362" t="s">
        <v>256</v>
      </c>
      <c r="AY19" s="362" t="s">
        <v>256</v>
      </c>
      <c r="AZ19" s="362" t="s">
        <v>256</v>
      </c>
      <c r="BA19" s="362" t="s">
        <v>256</v>
      </c>
      <c r="BB19" s="362" t="s">
        <v>259</v>
      </c>
      <c r="BC19" s="362" t="s">
        <v>286</v>
      </c>
      <c r="BD19" s="362" t="s">
        <v>248</v>
      </c>
      <c r="BE19" s="362" t="s">
        <v>259</v>
      </c>
      <c r="BF19" s="362" t="s">
        <v>248</v>
      </c>
      <c r="BG19" s="362">
        <v>1.07</v>
      </c>
      <c r="BH19" s="362" t="s">
        <v>256</v>
      </c>
      <c r="BI19" s="362" t="s">
        <v>256</v>
      </c>
      <c r="BJ19" s="362" t="s">
        <v>256</v>
      </c>
      <c r="BK19" s="362" t="s">
        <v>256</v>
      </c>
      <c r="BL19" s="362" t="s">
        <v>256</v>
      </c>
      <c r="BM19" s="362" t="s">
        <v>259</v>
      </c>
      <c r="BN19" s="362" t="s">
        <v>256</v>
      </c>
      <c r="BO19" s="362" t="s">
        <v>259</v>
      </c>
      <c r="BP19" s="362" t="s">
        <v>284</v>
      </c>
      <c r="BQ19" s="362" t="s">
        <v>256</v>
      </c>
      <c r="BR19" s="362" t="s">
        <v>256</v>
      </c>
      <c r="BS19" s="362">
        <v>1.37</v>
      </c>
      <c r="BT19" s="362" t="s">
        <v>284</v>
      </c>
      <c r="BU19" s="362">
        <v>2.0299999999999998</v>
      </c>
      <c r="BV19" s="362" t="s">
        <v>248</v>
      </c>
      <c r="BW19" s="362" t="s">
        <v>285</v>
      </c>
      <c r="BX19" s="362" t="s">
        <v>287</v>
      </c>
      <c r="BY19" s="362" t="s">
        <v>259</v>
      </c>
      <c r="BZ19" s="362" t="s">
        <v>259</v>
      </c>
      <c r="CA19" s="362">
        <v>5.9</v>
      </c>
      <c r="CB19" s="362" t="s">
        <v>254</v>
      </c>
      <c r="CC19" s="362">
        <v>153</v>
      </c>
      <c r="CD19" s="362">
        <v>0.25</v>
      </c>
      <c r="CE19" s="362">
        <v>0.6</v>
      </c>
      <c r="CF19" s="362">
        <v>4.0999999999999996</v>
      </c>
      <c r="CG19" s="362">
        <v>8.4</v>
      </c>
      <c r="CH19" s="362">
        <v>576</v>
      </c>
      <c r="CI19" s="362">
        <v>130</v>
      </c>
      <c r="CJ19" s="362" t="s">
        <v>254</v>
      </c>
      <c r="CK19" s="362">
        <v>47.2</v>
      </c>
      <c r="CL19" s="362">
        <v>19</v>
      </c>
      <c r="CM19" s="362">
        <v>7.0000000000000007E-2</v>
      </c>
      <c r="CN19" s="362" t="s">
        <v>288</v>
      </c>
      <c r="CO19" s="362">
        <v>3.5</v>
      </c>
      <c r="CP19" s="362">
        <v>4.5999999999999996</v>
      </c>
      <c r="CQ19" s="362" t="s">
        <v>254</v>
      </c>
      <c r="CR19" s="362" t="s">
        <v>254</v>
      </c>
      <c r="CS19" s="362">
        <v>8.6</v>
      </c>
      <c r="CT19" s="362">
        <v>11</v>
      </c>
      <c r="CU19" s="362">
        <v>0.36</v>
      </c>
      <c r="CV19" s="362">
        <v>410</v>
      </c>
      <c r="CW19" s="362">
        <v>2.8</v>
      </c>
      <c r="CX19" s="362">
        <v>1.2</v>
      </c>
      <c r="CY19" s="362">
        <v>0.22</v>
      </c>
      <c r="CZ19" s="362">
        <v>8.2200000000000006</v>
      </c>
      <c r="DA19" s="362">
        <v>0.95</v>
      </c>
      <c r="DB19" s="362">
        <v>2800</v>
      </c>
      <c r="DC19" s="362">
        <v>380</v>
      </c>
      <c r="DD19" s="362">
        <v>22.7</v>
      </c>
      <c r="DE19" s="362">
        <v>1400</v>
      </c>
      <c r="DF19" s="362" t="s">
        <v>296</v>
      </c>
      <c r="DG19" s="362">
        <v>6.1</v>
      </c>
      <c r="DH19" s="362">
        <v>1.3</v>
      </c>
      <c r="DI19" s="362">
        <v>1700</v>
      </c>
      <c r="DJ19" s="362">
        <v>1220</v>
      </c>
      <c r="DK19" s="362">
        <v>1340</v>
      </c>
      <c r="DL19" s="362" t="s">
        <v>312</v>
      </c>
      <c r="DM19" s="362">
        <v>9.59</v>
      </c>
      <c r="DN19" s="362">
        <v>7.92</v>
      </c>
      <c r="DO19" s="362">
        <v>2289</v>
      </c>
      <c r="DP19" s="362">
        <v>16.739999999999998</v>
      </c>
      <c r="DQ19" s="362">
        <v>2.1800000000000002</v>
      </c>
    </row>
    <row r="20" spans="1:121" hidden="1" x14ac:dyDescent="0.25">
      <c r="A20" s="362" t="s">
        <v>311</v>
      </c>
      <c r="B20" s="56" t="str">
        <f>VLOOKUP(Table3[[#This Row],[Station]], StationName, 2, FALSE)</f>
        <v>J06-9079-1 (J06P03)</v>
      </c>
      <c r="C20" s="362">
        <v>1719005</v>
      </c>
      <c r="D20" s="221">
        <v>44342.327777777777</v>
      </c>
      <c r="E20" s="362" t="s">
        <v>293</v>
      </c>
      <c r="F20" s="362" t="s">
        <v>294</v>
      </c>
      <c r="G20" s="362" t="s">
        <v>294</v>
      </c>
      <c r="H20" s="362" t="s">
        <v>294</v>
      </c>
      <c r="I20" s="362" t="s">
        <v>294</v>
      </c>
      <c r="J20" s="362" t="s">
        <v>294</v>
      </c>
      <c r="K20" s="362" t="s">
        <v>294</v>
      </c>
      <c r="L20" s="362" t="s">
        <v>294</v>
      </c>
      <c r="M20" s="362" t="s">
        <v>294</v>
      </c>
      <c r="N20" s="362" t="s">
        <v>294</v>
      </c>
      <c r="O20" s="362" t="s">
        <v>294</v>
      </c>
      <c r="P20" s="362" t="s">
        <v>294</v>
      </c>
      <c r="Q20" s="362" t="s">
        <v>294</v>
      </c>
      <c r="R20" s="362" t="s">
        <v>294</v>
      </c>
      <c r="S20" s="362" t="s">
        <v>294</v>
      </c>
      <c r="T20" s="362" t="s">
        <v>294</v>
      </c>
      <c r="U20" s="362" t="s">
        <v>294</v>
      </c>
      <c r="V20" s="362" t="s">
        <v>294</v>
      </c>
      <c r="W20" s="362" t="s">
        <v>294</v>
      </c>
      <c r="X20" s="362" t="s">
        <v>294</v>
      </c>
      <c r="Y20" s="362" t="s">
        <v>294</v>
      </c>
      <c r="Z20" s="362" t="s">
        <v>294</v>
      </c>
      <c r="AA20" s="362" t="s">
        <v>294</v>
      </c>
      <c r="AB20" s="362" t="s">
        <v>294</v>
      </c>
      <c r="AC20" s="362" t="s">
        <v>294</v>
      </c>
      <c r="AD20" s="362" t="s">
        <v>294</v>
      </c>
      <c r="AE20" s="362" t="s">
        <v>294</v>
      </c>
      <c r="AF20" s="362" t="s">
        <v>294</v>
      </c>
      <c r="AG20" s="362" t="s">
        <v>294</v>
      </c>
      <c r="AH20" s="362" t="s">
        <v>294</v>
      </c>
      <c r="AI20" s="362" t="s">
        <v>294</v>
      </c>
      <c r="AJ20" s="362" t="s">
        <v>294</v>
      </c>
      <c r="AK20" s="362" t="s">
        <v>294</v>
      </c>
      <c r="AL20" s="362" t="s">
        <v>294</v>
      </c>
      <c r="AM20" s="362" t="s">
        <v>294</v>
      </c>
      <c r="AN20" s="362" t="s">
        <v>294</v>
      </c>
      <c r="AO20" s="362" t="s">
        <v>294</v>
      </c>
      <c r="AP20" s="362" t="s">
        <v>294</v>
      </c>
      <c r="AQ20" s="362" t="s">
        <v>294</v>
      </c>
      <c r="AR20" s="362" t="s">
        <v>294</v>
      </c>
      <c r="AS20" s="362" t="s">
        <v>294</v>
      </c>
      <c r="AT20" s="362" t="s">
        <v>294</v>
      </c>
      <c r="AU20" s="362" t="s">
        <v>294</v>
      </c>
      <c r="AV20" s="362" t="s">
        <v>294</v>
      </c>
      <c r="AW20" s="362" t="s">
        <v>294</v>
      </c>
      <c r="AX20" s="362" t="s">
        <v>294</v>
      </c>
      <c r="AY20" s="362" t="s">
        <v>294</v>
      </c>
      <c r="AZ20" s="362" t="s">
        <v>294</v>
      </c>
      <c r="BA20" s="362" t="s">
        <v>294</v>
      </c>
      <c r="BB20" s="362" t="s">
        <v>294</v>
      </c>
      <c r="BC20" s="362" t="s">
        <v>294</v>
      </c>
      <c r="BD20" s="362" t="s">
        <v>294</v>
      </c>
      <c r="BE20" s="362" t="s">
        <v>294</v>
      </c>
      <c r="BF20" s="362" t="s">
        <v>294</v>
      </c>
      <c r="BG20" s="362" t="s">
        <v>294</v>
      </c>
      <c r="BH20" s="362" t="s">
        <v>294</v>
      </c>
      <c r="BI20" s="362" t="s">
        <v>294</v>
      </c>
      <c r="BJ20" s="362" t="s">
        <v>294</v>
      </c>
      <c r="BK20" s="362" t="s">
        <v>294</v>
      </c>
      <c r="BL20" s="362" t="s">
        <v>294</v>
      </c>
      <c r="BM20" s="362" t="s">
        <v>294</v>
      </c>
      <c r="BN20" s="362" t="s">
        <v>294</v>
      </c>
      <c r="BO20" s="362" t="s">
        <v>294</v>
      </c>
      <c r="BP20" s="362" t="s">
        <v>294</v>
      </c>
      <c r="BQ20" s="362" t="s">
        <v>294</v>
      </c>
      <c r="BR20" s="362" t="s">
        <v>294</v>
      </c>
      <c r="BS20" s="362" t="s">
        <v>294</v>
      </c>
      <c r="BT20" s="362" t="s">
        <v>294</v>
      </c>
      <c r="BU20" s="362" t="s">
        <v>294</v>
      </c>
      <c r="BV20" s="362" t="s">
        <v>294</v>
      </c>
      <c r="BW20" s="362" t="s">
        <v>294</v>
      </c>
      <c r="BX20" s="362" t="s">
        <v>294</v>
      </c>
      <c r="BY20" s="362" t="s">
        <v>294</v>
      </c>
      <c r="BZ20" s="362" t="s">
        <v>294</v>
      </c>
      <c r="CA20" s="362">
        <v>5.8</v>
      </c>
      <c r="CB20" s="362" t="s">
        <v>254</v>
      </c>
      <c r="CC20" s="362">
        <v>151</v>
      </c>
      <c r="CD20" s="362">
        <v>0.22</v>
      </c>
      <c r="CE20" s="362">
        <v>0.41</v>
      </c>
      <c r="CF20" s="362">
        <v>3.2</v>
      </c>
      <c r="CG20" s="362" t="s">
        <v>294</v>
      </c>
      <c r="CH20" s="362">
        <v>568</v>
      </c>
      <c r="CI20" s="362">
        <v>55</v>
      </c>
      <c r="CJ20" s="362" t="s">
        <v>254</v>
      </c>
      <c r="CK20" s="362">
        <v>46.4</v>
      </c>
      <c r="CL20" s="362">
        <v>15</v>
      </c>
      <c r="CM20" s="362" t="s">
        <v>294</v>
      </c>
      <c r="CN20" s="362" t="s">
        <v>288</v>
      </c>
      <c r="CO20" s="362">
        <v>3.2</v>
      </c>
      <c r="CP20" s="362">
        <v>4.5999999999999996</v>
      </c>
      <c r="CQ20" s="362" t="s">
        <v>254</v>
      </c>
      <c r="CR20" s="362" t="s">
        <v>254</v>
      </c>
      <c r="CS20" s="362" t="s">
        <v>294</v>
      </c>
      <c r="CT20" s="362" t="s">
        <v>284</v>
      </c>
      <c r="CU20" s="362" t="s">
        <v>294</v>
      </c>
      <c r="CV20" s="362" t="s">
        <v>294</v>
      </c>
      <c r="CW20" s="362" t="s">
        <v>294</v>
      </c>
      <c r="CX20" s="362" t="s">
        <v>294</v>
      </c>
      <c r="CY20" s="362" t="s">
        <v>294</v>
      </c>
      <c r="CZ20" s="362" t="s">
        <v>294</v>
      </c>
      <c r="DA20" s="362" t="s">
        <v>294</v>
      </c>
      <c r="DB20" s="362" t="s">
        <v>294</v>
      </c>
      <c r="DC20" s="362" t="s">
        <v>294</v>
      </c>
      <c r="DD20" s="362" t="s">
        <v>294</v>
      </c>
      <c r="DE20" s="362" t="s">
        <v>294</v>
      </c>
      <c r="DF20" s="362" t="s">
        <v>294</v>
      </c>
      <c r="DG20" s="362" t="s">
        <v>294</v>
      </c>
      <c r="DH20" s="362" t="s">
        <v>294</v>
      </c>
      <c r="DI20" s="362" t="s">
        <v>294</v>
      </c>
      <c r="DJ20" s="362" t="s">
        <v>294</v>
      </c>
      <c r="DK20" s="362" t="s">
        <v>294</v>
      </c>
      <c r="DL20" s="362" t="s">
        <v>294</v>
      </c>
      <c r="DM20" s="362" t="s">
        <v>294</v>
      </c>
      <c r="DN20" s="362" t="s">
        <v>294</v>
      </c>
      <c r="DO20" s="362" t="s">
        <v>294</v>
      </c>
      <c r="DP20" s="362" t="s">
        <v>294</v>
      </c>
      <c r="DQ20" s="362" t="s">
        <v>294</v>
      </c>
    </row>
    <row r="21" spans="1:121" x14ac:dyDescent="0.25">
      <c r="A21" s="362" t="s">
        <v>313</v>
      </c>
      <c r="B21" s="56" t="str">
        <f>VLOOKUP(Table3[[#This Row],[Station]], StationName, 2, FALSE)</f>
        <v>J01-9992-1 (J01P27)</v>
      </c>
      <c r="C21" s="362">
        <v>1720001</v>
      </c>
      <c r="D21" s="221">
        <v>44342.338194444441</v>
      </c>
      <c r="E21" s="362" t="s">
        <v>283</v>
      </c>
      <c r="F21" s="362">
        <v>66</v>
      </c>
      <c r="G21" s="362">
        <v>88</v>
      </c>
      <c r="H21" s="362">
        <v>110</v>
      </c>
      <c r="I21" s="362">
        <v>91</v>
      </c>
      <c r="J21" s="362">
        <v>50</v>
      </c>
      <c r="K21" s="362">
        <v>81</v>
      </c>
      <c r="L21" s="362">
        <v>95</v>
      </c>
      <c r="M21" s="362">
        <v>88</v>
      </c>
      <c r="N21" s="362">
        <v>70</v>
      </c>
      <c r="O21" s="362" t="s">
        <v>259</v>
      </c>
      <c r="P21" s="362" t="s">
        <v>259</v>
      </c>
      <c r="Q21" s="362" t="s">
        <v>259</v>
      </c>
      <c r="R21" s="362" t="s">
        <v>259</v>
      </c>
      <c r="S21" s="362" t="s">
        <v>259</v>
      </c>
      <c r="T21" s="362" t="s">
        <v>259</v>
      </c>
      <c r="U21" s="362" t="s">
        <v>256</v>
      </c>
      <c r="V21" s="362" t="s">
        <v>256</v>
      </c>
      <c r="W21" s="362" t="s">
        <v>256</v>
      </c>
      <c r="X21" s="362" t="s">
        <v>256</v>
      </c>
      <c r="Y21" s="362" t="s">
        <v>284</v>
      </c>
      <c r="Z21" s="362" t="s">
        <v>256</v>
      </c>
      <c r="AA21" s="362" t="s">
        <v>256</v>
      </c>
      <c r="AB21" s="362" t="s">
        <v>256</v>
      </c>
      <c r="AC21" s="362" t="s">
        <v>256</v>
      </c>
      <c r="AD21" s="362" t="s">
        <v>256</v>
      </c>
      <c r="AE21" s="362" t="s">
        <v>256</v>
      </c>
      <c r="AF21" s="362" t="s">
        <v>256</v>
      </c>
      <c r="AG21" s="362" t="s">
        <v>256</v>
      </c>
      <c r="AH21" s="362" t="s">
        <v>256</v>
      </c>
      <c r="AI21" s="362" t="s">
        <v>256</v>
      </c>
      <c r="AJ21" s="362" t="s">
        <v>248</v>
      </c>
      <c r="AK21" s="362" t="s">
        <v>259</v>
      </c>
      <c r="AL21" s="362" t="s">
        <v>259</v>
      </c>
      <c r="AM21" s="362" t="s">
        <v>251</v>
      </c>
      <c r="AN21" s="362" t="s">
        <v>256</v>
      </c>
      <c r="AO21" s="362" t="s">
        <v>259</v>
      </c>
      <c r="AP21" s="362" t="s">
        <v>251</v>
      </c>
      <c r="AQ21" s="362" t="s">
        <v>256</v>
      </c>
      <c r="AR21" s="362" t="s">
        <v>256</v>
      </c>
      <c r="AS21" s="362" t="s">
        <v>285</v>
      </c>
      <c r="AT21" s="362" t="s">
        <v>259</v>
      </c>
      <c r="AU21" s="362" t="s">
        <v>284</v>
      </c>
      <c r="AV21" s="362" t="s">
        <v>259</v>
      </c>
      <c r="AW21" s="362" t="s">
        <v>256</v>
      </c>
      <c r="AX21" s="362" t="s">
        <v>256</v>
      </c>
      <c r="AY21" s="362" t="s">
        <v>256</v>
      </c>
      <c r="AZ21" s="362" t="s">
        <v>256</v>
      </c>
      <c r="BA21" s="362" t="s">
        <v>256</v>
      </c>
      <c r="BB21" s="362" t="s">
        <v>259</v>
      </c>
      <c r="BC21" s="362" t="s">
        <v>286</v>
      </c>
      <c r="BD21" s="362" t="s">
        <v>248</v>
      </c>
      <c r="BE21" s="362" t="s">
        <v>259</v>
      </c>
      <c r="BF21" s="362" t="s">
        <v>248</v>
      </c>
      <c r="BG21" s="362" t="s">
        <v>256</v>
      </c>
      <c r="BH21" s="362" t="s">
        <v>256</v>
      </c>
      <c r="BI21" s="362" t="s">
        <v>256</v>
      </c>
      <c r="BJ21" s="362" t="s">
        <v>256</v>
      </c>
      <c r="BK21" s="362" t="s">
        <v>256</v>
      </c>
      <c r="BL21" s="362" t="s">
        <v>256</v>
      </c>
      <c r="BM21" s="362" t="s">
        <v>259</v>
      </c>
      <c r="BN21" s="362" t="s">
        <v>256</v>
      </c>
      <c r="BO21" s="362" t="s">
        <v>259</v>
      </c>
      <c r="BP21" s="362" t="s">
        <v>284</v>
      </c>
      <c r="BQ21" s="362" t="s">
        <v>256</v>
      </c>
      <c r="BR21" s="362" t="s">
        <v>256</v>
      </c>
      <c r="BS21" s="362" t="s">
        <v>256</v>
      </c>
      <c r="BT21" s="362" t="s">
        <v>284</v>
      </c>
      <c r="BU21" s="362" t="s">
        <v>256</v>
      </c>
      <c r="BV21" s="362" t="s">
        <v>248</v>
      </c>
      <c r="BW21" s="362" t="s">
        <v>285</v>
      </c>
      <c r="BX21" s="362" t="s">
        <v>287</v>
      </c>
      <c r="BY21" s="362" t="s">
        <v>259</v>
      </c>
      <c r="BZ21" s="362" t="s">
        <v>259</v>
      </c>
      <c r="CA21" s="362">
        <v>13</v>
      </c>
      <c r="CB21" s="362">
        <v>2.6</v>
      </c>
      <c r="CC21" s="362">
        <v>216</v>
      </c>
      <c r="CD21" s="362">
        <v>0.73</v>
      </c>
      <c r="CE21" s="362">
        <v>1.3</v>
      </c>
      <c r="CF21" s="362">
        <v>6.4</v>
      </c>
      <c r="CG21" s="362">
        <v>11</v>
      </c>
      <c r="CH21" s="362">
        <v>844</v>
      </c>
      <c r="CI21" s="362">
        <v>180</v>
      </c>
      <c r="CJ21" s="362" t="s">
        <v>254</v>
      </c>
      <c r="CK21" s="362">
        <v>74</v>
      </c>
      <c r="CL21" s="362">
        <v>20</v>
      </c>
      <c r="CM21" s="362">
        <v>7.3999999999999996E-2</v>
      </c>
      <c r="CN21" s="362" t="s">
        <v>288</v>
      </c>
      <c r="CO21" s="362">
        <v>11</v>
      </c>
      <c r="CP21" s="362">
        <v>37</v>
      </c>
      <c r="CQ21" s="362" t="s">
        <v>254</v>
      </c>
      <c r="CR21" s="362" t="s">
        <v>254</v>
      </c>
      <c r="CS21" s="362">
        <v>11</v>
      </c>
      <c r="CT21" s="362">
        <v>37</v>
      </c>
      <c r="CU21" s="362">
        <v>4.8</v>
      </c>
      <c r="CV21" s="362">
        <v>440</v>
      </c>
      <c r="CW21" s="362">
        <v>12</v>
      </c>
      <c r="CX21" s="362">
        <v>6</v>
      </c>
      <c r="CY21" s="362">
        <v>0.36</v>
      </c>
      <c r="CZ21" s="362">
        <v>7.55</v>
      </c>
      <c r="DA21" s="362">
        <v>1.6</v>
      </c>
      <c r="DB21" s="362">
        <v>3400</v>
      </c>
      <c r="DC21" s="362">
        <v>630</v>
      </c>
      <c r="DD21" s="362">
        <v>22.8</v>
      </c>
      <c r="DE21" s="362">
        <v>1900</v>
      </c>
      <c r="DF21" s="362">
        <v>7.6</v>
      </c>
      <c r="DG21" s="362">
        <v>11</v>
      </c>
      <c r="DH21" s="362">
        <v>7.9</v>
      </c>
      <c r="DI21" s="362">
        <v>14200</v>
      </c>
      <c r="DJ21" s="362">
        <v>10900</v>
      </c>
      <c r="DK21" s="362">
        <v>20000</v>
      </c>
      <c r="DL21" s="362" t="s">
        <v>314</v>
      </c>
      <c r="DM21" s="362">
        <v>6.99</v>
      </c>
      <c r="DN21" s="362">
        <v>7.54</v>
      </c>
      <c r="DO21" s="362">
        <v>4082</v>
      </c>
      <c r="DP21" s="362">
        <v>19.100000000000001</v>
      </c>
      <c r="DQ21" s="362">
        <v>3.79</v>
      </c>
    </row>
    <row r="22" spans="1:121" hidden="1" x14ac:dyDescent="0.25">
      <c r="A22" s="362" t="s">
        <v>313</v>
      </c>
      <c r="B22" s="56" t="str">
        <f>VLOOKUP(Table3[[#This Row],[Station]], StationName, 2, FALSE)</f>
        <v>J01-9992-1 (J01P27)</v>
      </c>
      <c r="C22" s="362">
        <v>1720005</v>
      </c>
      <c r="D22" s="221">
        <v>44342.338194444441</v>
      </c>
      <c r="E22" s="362" t="s">
        <v>293</v>
      </c>
      <c r="F22" s="362" t="s">
        <v>294</v>
      </c>
      <c r="G22" s="362" t="s">
        <v>294</v>
      </c>
      <c r="H22" s="362" t="s">
        <v>294</v>
      </c>
      <c r="I22" s="362" t="s">
        <v>294</v>
      </c>
      <c r="J22" s="362" t="s">
        <v>294</v>
      </c>
      <c r="K22" s="362" t="s">
        <v>294</v>
      </c>
      <c r="L22" s="362" t="s">
        <v>294</v>
      </c>
      <c r="M22" s="362" t="s">
        <v>294</v>
      </c>
      <c r="N22" s="362" t="s">
        <v>294</v>
      </c>
      <c r="O22" s="362" t="s">
        <v>294</v>
      </c>
      <c r="P22" s="362" t="s">
        <v>294</v>
      </c>
      <c r="Q22" s="362" t="s">
        <v>294</v>
      </c>
      <c r="R22" s="362" t="s">
        <v>294</v>
      </c>
      <c r="S22" s="362" t="s">
        <v>294</v>
      </c>
      <c r="T22" s="362" t="s">
        <v>294</v>
      </c>
      <c r="U22" s="362" t="s">
        <v>294</v>
      </c>
      <c r="V22" s="362" t="s">
        <v>294</v>
      </c>
      <c r="W22" s="362" t="s">
        <v>294</v>
      </c>
      <c r="X22" s="362" t="s">
        <v>294</v>
      </c>
      <c r="Y22" s="362" t="s">
        <v>294</v>
      </c>
      <c r="Z22" s="362" t="s">
        <v>294</v>
      </c>
      <c r="AA22" s="362" t="s">
        <v>294</v>
      </c>
      <c r="AB22" s="362" t="s">
        <v>294</v>
      </c>
      <c r="AC22" s="362" t="s">
        <v>294</v>
      </c>
      <c r="AD22" s="362" t="s">
        <v>294</v>
      </c>
      <c r="AE22" s="362" t="s">
        <v>294</v>
      </c>
      <c r="AF22" s="362" t="s">
        <v>294</v>
      </c>
      <c r="AG22" s="362" t="s">
        <v>294</v>
      </c>
      <c r="AH22" s="362" t="s">
        <v>294</v>
      </c>
      <c r="AI22" s="362" t="s">
        <v>294</v>
      </c>
      <c r="AJ22" s="362" t="s">
        <v>294</v>
      </c>
      <c r="AK22" s="362" t="s">
        <v>294</v>
      </c>
      <c r="AL22" s="362" t="s">
        <v>294</v>
      </c>
      <c r="AM22" s="362" t="s">
        <v>294</v>
      </c>
      <c r="AN22" s="362" t="s">
        <v>294</v>
      </c>
      <c r="AO22" s="362" t="s">
        <v>294</v>
      </c>
      <c r="AP22" s="362" t="s">
        <v>294</v>
      </c>
      <c r="AQ22" s="362" t="s">
        <v>294</v>
      </c>
      <c r="AR22" s="362" t="s">
        <v>294</v>
      </c>
      <c r="AS22" s="362" t="s">
        <v>294</v>
      </c>
      <c r="AT22" s="362" t="s">
        <v>294</v>
      </c>
      <c r="AU22" s="362" t="s">
        <v>294</v>
      </c>
      <c r="AV22" s="362" t="s">
        <v>294</v>
      </c>
      <c r="AW22" s="362" t="s">
        <v>294</v>
      </c>
      <c r="AX22" s="362" t="s">
        <v>294</v>
      </c>
      <c r="AY22" s="362" t="s">
        <v>294</v>
      </c>
      <c r="AZ22" s="362" t="s">
        <v>294</v>
      </c>
      <c r="BA22" s="362" t="s">
        <v>294</v>
      </c>
      <c r="BB22" s="362" t="s">
        <v>294</v>
      </c>
      <c r="BC22" s="362" t="s">
        <v>294</v>
      </c>
      <c r="BD22" s="362" t="s">
        <v>294</v>
      </c>
      <c r="BE22" s="362" t="s">
        <v>294</v>
      </c>
      <c r="BF22" s="362" t="s">
        <v>294</v>
      </c>
      <c r="BG22" s="362" t="s">
        <v>294</v>
      </c>
      <c r="BH22" s="362" t="s">
        <v>294</v>
      </c>
      <c r="BI22" s="362" t="s">
        <v>294</v>
      </c>
      <c r="BJ22" s="362" t="s">
        <v>294</v>
      </c>
      <c r="BK22" s="362" t="s">
        <v>294</v>
      </c>
      <c r="BL22" s="362" t="s">
        <v>294</v>
      </c>
      <c r="BM22" s="362" t="s">
        <v>294</v>
      </c>
      <c r="BN22" s="362" t="s">
        <v>294</v>
      </c>
      <c r="BO22" s="362" t="s">
        <v>294</v>
      </c>
      <c r="BP22" s="362" t="s">
        <v>294</v>
      </c>
      <c r="BQ22" s="362" t="s">
        <v>294</v>
      </c>
      <c r="BR22" s="362" t="s">
        <v>294</v>
      </c>
      <c r="BS22" s="362" t="s">
        <v>294</v>
      </c>
      <c r="BT22" s="362" t="s">
        <v>294</v>
      </c>
      <c r="BU22" s="362" t="s">
        <v>294</v>
      </c>
      <c r="BV22" s="362" t="s">
        <v>294</v>
      </c>
      <c r="BW22" s="362" t="s">
        <v>294</v>
      </c>
      <c r="BX22" s="362" t="s">
        <v>294</v>
      </c>
      <c r="BY22" s="362" t="s">
        <v>294</v>
      </c>
      <c r="BZ22" s="362" t="s">
        <v>294</v>
      </c>
      <c r="CA22" s="362">
        <v>12</v>
      </c>
      <c r="CB22" s="362">
        <v>1.2</v>
      </c>
      <c r="CC22" s="362" t="s">
        <v>294</v>
      </c>
      <c r="CD22" s="362">
        <v>0.73</v>
      </c>
      <c r="CE22" s="362">
        <v>1.1000000000000001</v>
      </c>
      <c r="CF22" s="362">
        <v>3.5</v>
      </c>
      <c r="CG22" s="362" t="s">
        <v>294</v>
      </c>
      <c r="CH22" s="362" t="s">
        <v>294</v>
      </c>
      <c r="CI22" s="362">
        <v>30</v>
      </c>
      <c r="CJ22" s="362" t="s">
        <v>254</v>
      </c>
      <c r="CK22" s="362" t="s">
        <v>294</v>
      </c>
      <c r="CL22" s="362">
        <v>18</v>
      </c>
      <c r="CM22" s="362" t="s">
        <v>294</v>
      </c>
      <c r="CN22" s="362" t="s">
        <v>288</v>
      </c>
      <c r="CO22" s="362">
        <v>11</v>
      </c>
      <c r="CP22" s="362">
        <v>38</v>
      </c>
      <c r="CQ22" s="362" t="s">
        <v>254</v>
      </c>
      <c r="CR22" s="362" t="s">
        <v>254</v>
      </c>
      <c r="CS22" s="362" t="s">
        <v>294</v>
      </c>
      <c r="CT22" s="362">
        <v>26</v>
      </c>
      <c r="CU22" s="362" t="s">
        <v>294</v>
      </c>
      <c r="CV22" s="362" t="s">
        <v>294</v>
      </c>
      <c r="CW22" s="362" t="s">
        <v>294</v>
      </c>
      <c r="CX22" s="362" t="s">
        <v>294</v>
      </c>
      <c r="CY22" s="362" t="s">
        <v>294</v>
      </c>
      <c r="CZ22" s="362" t="s">
        <v>294</v>
      </c>
      <c r="DA22" s="362" t="s">
        <v>294</v>
      </c>
      <c r="DB22" s="362" t="s">
        <v>294</v>
      </c>
      <c r="DC22" s="362" t="s">
        <v>294</v>
      </c>
      <c r="DD22" s="362" t="s">
        <v>294</v>
      </c>
      <c r="DE22" s="362" t="s">
        <v>294</v>
      </c>
      <c r="DF22" s="362" t="s">
        <v>294</v>
      </c>
      <c r="DG22" s="362" t="s">
        <v>294</v>
      </c>
      <c r="DH22" s="362" t="s">
        <v>294</v>
      </c>
      <c r="DI22" s="362" t="s">
        <v>294</v>
      </c>
      <c r="DJ22" s="362" t="s">
        <v>294</v>
      </c>
      <c r="DK22" s="362" t="s">
        <v>294</v>
      </c>
      <c r="DL22" s="362" t="s">
        <v>294</v>
      </c>
      <c r="DM22" s="362" t="s">
        <v>294</v>
      </c>
      <c r="DN22" s="362" t="s">
        <v>294</v>
      </c>
      <c r="DO22" s="362" t="s">
        <v>294</v>
      </c>
      <c r="DP22" s="362" t="s">
        <v>294</v>
      </c>
      <c r="DQ22" s="362" t="s">
        <v>294</v>
      </c>
    </row>
    <row r="23" spans="1:121" x14ac:dyDescent="0.25">
      <c r="A23" s="362" t="s">
        <v>109</v>
      </c>
      <c r="B23" s="56" t="str">
        <f>VLOOKUP(Table3[[#This Row],[Station]], StationName, 2, FALSE)</f>
        <v>L01-404-1</v>
      </c>
      <c r="C23" s="362">
        <v>1724001</v>
      </c>
      <c r="D23" s="221">
        <v>44342.350694444445</v>
      </c>
      <c r="E23" s="362" t="s">
        <v>283</v>
      </c>
      <c r="F23" s="362">
        <v>73</v>
      </c>
      <c r="G23" s="362">
        <v>85</v>
      </c>
      <c r="H23" s="362">
        <v>99</v>
      </c>
      <c r="I23" s="362">
        <v>84</v>
      </c>
      <c r="J23" s="362">
        <v>62</v>
      </c>
      <c r="K23" s="362">
        <v>85</v>
      </c>
      <c r="L23" s="362">
        <v>88</v>
      </c>
      <c r="M23" s="362">
        <v>80</v>
      </c>
      <c r="N23" s="362">
        <v>81</v>
      </c>
      <c r="O23" s="362" t="s">
        <v>259</v>
      </c>
      <c r="P23" s="362" t="s">
        <v>259</v>
      </c>
      <c r="Q23" s="362" t="s">
        <v>259</v>
      </c>
      <c r="R23" s="362" t="s">
        <v>259</v>
      </c>
      <c r="S23" s="362" t="s">
        <v>259</v>
      </c>
      <c r="T23" s="362" t="s">
        <v>259</v>
      </c>
      <c r="U23" s="362" t="s">
        <v>256</v>
      </c>
      <c r="V23" s="362" t="s">
        <v>256</v>
      </c>
      <c r="W23" s="362" t="s">
        <v>256</v>
      </c>
      <c r="X23" s="362" t="s">
        <v>256</v>
      </c>
      <c r="Y23" s="362" t="s">
        <v>284</v>
      </c>
      <c r="Z23" s="362" t="s">
        <v>256</v>
      </c>
      <c r="AA23" s="362" t="s">
        <v>256</v>
      </c>
      <c r="AB23" s="362" t="s">
        <v>256</v>
      </c>
      <c r="AC23" s="362">
        <v>5.23</v>
      </c>
      <c r="AD23" s="362" t="s">
        <v>256</v>
      </c>
      <c r="AE23" s="362" t="s">
        <v>256</v>
      </c>
      <c r="AF23" s="362" t="s">
        <v>256</v>
      </c>
      <c r="AG23" s="362" t="s">
        <v>256</v>
      </c>
      <c r="AH23" s="362" t="s">
        <v>256</v>
      </c>
      <c r="AI23" s="362" t="s">
        <v>256</v>
      </c>
      <c r="AJ23" s="362" t="s">
        <v>248</v>
      </c>
      <c r="AK23" s="362" t="s">
        <v>259</v>
      </c>
      <c r="AL23" s="362" t="s">
        <v>259</v>
      </c>
      <c r="AM23" s="362" t="s">
        <v>251</v>
      </c>
      <c r="AN23" s="362" t="s">
        <v>256</v>
      </c>
      <c r="AO23" s="362" t="s">
        <v>259</v>
      </c>
      <c r="AP23" s="362" t="s">
        <v>251</v>
      </c>
      <c r="AQ23" s="362" t="s">
        <v>256</v>
      </c>
      <c r="AR23" s="362" t="s">
        <v>256</v>
      </c>
      <c r="AS23" s="362" t="s">
        <v>285</v>
      </c>
      <c r="AT23" s="362" t="s">
        <v>259</v>
      </c>
      <c r="AU23" s="362" t="s">
        <v>284</v>
      </c>
      <c r="AV23" s="362" t="s">
        <v>259</v>
      </c>
      <c r="AW23" s="362" t="s">
        <v>256</v>
      </c>
      <c r="AX23" s="362" t="s">
        <v>256</v>
      </c>
      <c r="AY23" s="362" t="s">
        <v>256</v>
      </c>
      <c r="AZ23" s="362" t="s">
        <v>256</v>
      </c>
      <c r="BA23" s="362" t="s">
        <v>256</v>
      </c>
      <c r="BB23" s="362" t="s">
        <v>259</v>
      </c>
      <c r="BC23" s="362" t="s">
        <v>286</v>
      </c>
      <c r="BD23" s="362" t="s">
        <v>248</v>
      </c>
      <c r="BE23" s="362" t="s">
        <v>259</v>
      </c>
      <c r="BF23" s="362" t="s">
        <v>248</v>
      </c>
      <c r="BG23" s="362" t="s">
        <v>256</v>
      </c>
      <c r="BH23" s="362" t="s">
        <v>256</v>
      </c>
      <c r="BI23" s="362" t="s">
        <v>256</v>
      </c>
      <c r="BJ23" s="362" t="s">
        <v>256</v>
      </c>
      <c r="BK23" s="362" t="s">
        <v>256</v>
      </c>
      <c r="BL23" s="362" t="s">
        <v>256</v>
      </c>
      <c r="BM23" s="362" t="s">
        <v>259</v>
      </c>
      <c r="BN23" s="362" t="s">
        <v>256</v>
      </c>
      <c r="BO23" s="362" t="s">
        <v>259</v>
      </c>
      <c r="BP23" s="362" t="s">
        <v>284</v>
      </c>
      <c r="BQ23" s="362" t="s">
        <v>256</v>
      </c>
      <c r="BR23" s="362" t="s">
        <v>256</v>
      </c>
      <c r="BS23" s="362" t="s">
        <v>256</v>
      </c>
      <c r="BT23" s="362" t="s">
        <v>284</v>
      </c>
      <c r="BU23" s="362" t="s">
        <v>256</v>
      </c>
      <c r="BV23" s="362" t="s">
        <v>248</v>
      </c>
      <c r="BW23" s="362" t="s">
        <v>285</v>
      </c>
      <c r="BX23" s="362" t="s">
        <v>287</v>
      </c>
      <c r="BY23" s="362" t="s">
        <v>259</v>
      </c>
      <c r="BZ23" s="362" t="s">
        <v>259</v>
      </c>
      <c r="CA23" s="362">
        <v>2.2999999999999998</v>
      </c>
      <c r="CB23" s="362" t="s">
        <v>254</v>
      </c>
      <c r="CC23" s="362">
        <v>143</v>
      </c>
      <c r="CD23" s="362">
        <v>0.18</v>
      </c>
      <c r="CE23" s="362">
        <v>0.32</v>
      </c>
      <c r="CF23" s="362">
        <v>6</v>
      </c>
      <c r="CG23" s="362">
        <v>7.4</v>
      </c>
      <c r="CH23" s="362">
        <v>496</v>
      </c>
      <c r="CI23" s="362">
        <v>50</v>
      </c>
      <c r="CJ23" s="362" t="s">
        <v>254</v>
      </c>
      <c r="CK23" s="362">
        <v>33.799999999999997</v>
      </c>
      <c r="CL23" s="362">
        <v>22</v>
      </c>
      <c r="CM23" s="362" t="s">
        <v>288</v>
      </c>
      <c r="CN23" s="362" t="s">
        <v>288</v>
      </c>
      <c r="CO23" s="362" t="s">
        <v>259</v>
      </c>
      <c r="CP23" s="362">
        <v>1</v>
      </c>
      <c r="CQ23" s="362" t="s">
        <v>254</v>
      </c>
      <c r="CR23" s="362" t="s">
        <v>254</v>
      </c>
      <c r="CS23" s="362">
        <v>8.5</v>
      </c>
      <c r="CT23" s="362" t="s">
        <v>284</v>
      </c>
      <c r="CU23" s="362">
        <v>0.13</v>
      </c>
      <c r="CV23" s="362">
        <v>300</v>
      </c>
      <c r="CW23" s="362">
        <v>0.96</v>
      </c>
      <c r="CX23" s="362">
        <v>1</v>
      </c>
      <c r="CY23" s="362">
        <v>0.19</v>
      </c>
      <c r="CZ23" s="362">
        <v>8.0399999999999991</v>
      </c>
      <c r="DA23" s="362">
        <v>0.91</v>
      </c>
      <c r="DB23" s="362">
        <v>2400</v>
      </c>
      <c r="DC23" s="362">
        <v>360</v>
      </c>
      <c r="DD23" s="362">
        <v>22.2</v>
      </c>
      <c r="DE23" s="362">
        <v>1200</v>
      </c>
      <c r="DF23" s="362" t="s">
        <v>309</v>
      </c>
      <c r="DG23" s="362">
        <v>3.2</v>
      </c>
      <c r="DH23" s="362">
        <v>1.2</v>
      </c>
      <c r="DI23" s="362">
        <v>2500</v>
      </c>
      <c r="DJ23" s="362">
        <v>1260</v>
      </c>
      <c r="DK23" s="362" t="s">
        <v>315</v>
      </c>
      <c r="DL23" s="362" t="s">
        <v>316</v>
      </c>
      <c r="DM23" s="362">
        <v>8.68</v>
      </c>
      <c r="DN23" s="362">
        <v>7.76</v>
      </c>
      <c r="DO23" s="362">
        <v>1766.4</v>
      </c>
      <c r="DP23" s="362">
        <v>18.38</v>
      </c>
      <c r="DQ23" s="362">
        <v>4.5599999999999996</v>
      </c>
    </row>
    <row r="24" spans="1:121" hidden="1" x14ac:dyDescent="0.25">
      <c r="A24" s="362" t="s">
        <v>109</v>
      </c>
      <c r="B24" s="56" t="str">
        <f>VLOOKUP(Table3[[#This Row],[Station]], StationName, 2, FALSE)</f>
        <v>L01-404-1</v>
      </c>
      <c r="C24" s="362">
        <v>1724006</v>
      </c>
      <c r="D24" s="221">
        <v>44342.350694444445</v>
      </c>
      <c r="E24" s="362" t="s">
        <v>293</v>
      </c>
      <c r="F24" s="362" t="s">
        <v>294</v>
      </c>
      <c r="G24" s="362" t="s">
        <v>294</v>
      </c>
      <c r="H24" s="362" t="s">
        <v>294</v>
      </c>
      <c r="I24" s="362" t="s">
        <v>294</v>
      </c>
      <c r="J24" s="362" t="s">
        <v>294</v>
      </c>
      <c r="K24" s="362" t="s">
        <v>294</v>
      </c>
      <c r="L24" s="362" t="s">
        <v>294</v>
      </c>
      <c r="M24" s="362" t="s">
        <v>294</v>
      </c>
      <c r="N24" s="362" t="s">
        <v>294</v>
      </c>
      <c r="O24" s="362" t="s">
        <v>294</v>
      </c>
      <c r="P24" s="362" t="s">
        <v>294</v>
      </c>
      <c r="Q24" s="362" t="s">
        <v>294</v>
      </c>
      <c r="R24" s="362" t="s">
        <v>294</v>
      </c>
      <c r="S24" s="362" t="s">
        <v>294</v>
      </c>
      <c r="T24" s="362" t="s">
        <v>294</v>
      </c>
      <c r="U24" s="362" t="s">
        <v>294</v>
      </c>
      <c r="V24" s="362" t="s">
        <v>294</v>
      </c>
      <c r="W24" s="362" t="s">
        <v>294</v>
      </c>
      <c r="X24" s="362" t="s">
        <v>294</v>
      </c>
      <c r="Y24" s="362" t="s">
        <v>294</v>
      </c>
      <c r="Z24" s="362" t="s">
        <v>294</v>
      </c>
      <c r="AA24" s="362" t="s">
        <v>294</v>
      </c>
      <c r="AB24" s="362" t="s">
        <v>294</v>
      </c>
      <c r="AC24" s="362" t="s">
        <v>294</v>
      </c>
      <c r="AD24" s="362" t="s">
        <v>294</v>
      </c>
      <c r="AE24" s="362" t="s">
        <v>294</v>
      </c>
      <c r="AF24" s="362" t="s">
        <v>294</v>
      </c>
      <c r="AG24" s="362" t="s">
        <v>294</v>
      </c>
      <c r="AH24" s="362" t="s">
        <v>294</v>
      </c>
      <c r="AI24" s="362" t="s">
        <v>294</v>
      </c>
      <c r="AJ24" s="362" t="s">
        <v>294</v>
      </c>
      <c r="AK24" s="362" t="s">
        <v>294</v>
      </c>
      <c r="AL24" s="362" t="s">
        <v>294</v>
      </c>
      <c r="AM24" s="362" t="s">
        <v>294</v>
      </c>
      <c r="AN24" s="362" t="s">
        <v>294</v>
      </c>
      <c r="AO24" s="362" t="s">
        <v>294</v>
      </c>
      <c r="AP24" s="362" t="s">
        <v>294</v>
      </c>
      <c r="AQ24" s="362" t="s">
        <v>294</v>
      </c>
      <c r="AR24" s="362" t="s">
        <v>294</v>
      </c>
      <c r="AS24" s="362" t="s">
        <v>294</v>
      </c>
      <c r="AT24" s="362" t="s">
        <v>294</v>
      </c>
      <c r="AU24" s="362" t="s">
        <v>294</v>
      </c>
      <c r="AV24" s="362" t="s">
        <v>294</v>
      </c>
      <c r="AW24" s="362" t="s">
        <v>294</v>
      </c>
      <c r="AX24" s="362" t="s">
        <v>294</v>
      </c>
      <c r="AY24" s="362" t="s">
        <v>294</v>
      </c>
      <c r="AZ24" s="362" t="s">
        <v>294</v>
      </c>
      <c r="BA24" s="362" t="s">
        <v>294</v>
      </c>
      <c r="BB24" s="362" t="s">
        <v>294</v>
      </c>
      <c r="BC24" s="362" t="s">
        <v>294</v>
      </c>
      <c r="BD24" s="362" t="s">
        <v>294</v>
      </c>
      <c r="BE24" s="362" t="s">
        <v>294</v>
      </c>
      <c r="BF24" s="362" t="s">
        <v>294</v>
      </c>
      <c r="BG24" s="362" t="s">
        <v>294</v>
      </c>
      <c r="BH24" s="362" t="s">
        <v>294</v>
      </c>
      <c r="BI24" s="362" t="s">
        <v>294</v>
      </c>
      <c r="BJ24" s="362" t="s">
        <v>294</v>
      </c>
      <c r="BK24" s="362" t="s">
        <v>294</v>
      </c>
      <c r="BL24" s="362" t="s">
        <v>294</v>
      </c>
      <c r="BM24" s="362" t="s">
        <v>294</v>
      </c>
      <c r="BN24" s="362" t="s">
        <v>294</v>
      </c>
      <c r="BO24" s="362" t="s">
        <v>294</v>
      </c>
      <c r="BP24" s="362" t="s">
        <v>294</v>
      </c>
      <c r="BQ24" s="362" t="s">
        <v>294</v>
      </c>
      <c r="BR24" s="362" t="s">
        <v>294</v>
      </c>
      <c r="BS24" s="362" t="s">
        <v>294</v>
      </c>
      <c r="BT24" s="362" t="s">
        <v>294</v>
      </c>
      <c r="BU24" s="362" t="s">
        <v>294</v>
      </c>
      <c r="BV24" s="362" t="s">
        <v>294</v>
      </c>
      <c r="BW24" s="362" t="s">
        <v>294</v>
      </c>
      <c r="BX24" s="362" t="s">
        <v>294</v>
      </c>
      <c r="BY24" s="362" t="s">
        <v>294</v>
      </c>
      <c r="BZ24" s="362" t="s">
        <v>294</v>
      </c>
      <c r="CA24" s="362">
        <v>2.2999999999999998</v>
      </c>
      <c r="CB24" s="362" t="s">
        <v>254</v>
      </c>
      <c r="CC24" s="362" t="s">
        <v>294</v>
      </c>
      <c r="CD24" s="362">
        <v>0.19</v>
      </c>
      <c r="CE24" s="362">
        <v>0.27</v>
      </c>
      <c r="CF24" s="362">
        <v>4.9000000000000004</v>
      </c>
      <c r="CG24" s="362" t="s">
        <v>294</v>
      </c>
      <c r="CH24" s="362" t="s">
        <v>294</v>
      </c>
      <c r="CI24" s="362" t="s">
        <v>286</v>
      </c>
      <c r="CJ24" s="362" t="s">
        <v>254</v>
      </c>
      <c r="CK24" s="362" t="s">
        <v>294</v>
      </c>
      <c r="CL24" s="362">
        <v>6.5</v>
      </c>
      <c r="CM24" s="362" t="s">
        <v>294</v>
      </c>
      <c r="CN24" s="362" t="s">
        <v>288</v>
      </c>
      <c r="CO24" s="362" t="s">
        <v>259</v>
      </c>
      <c r="CP24" s="362">
        <v>1</v>
      </c>
      <c r="CQ24" s="362" t="s">
        <v>254</v>
      </c>
      <c r="CR24" s="362" t="s">
        <v>254</v>
      </c>
      <c r="CS24" s="362" t="s">
        <v>294</v>
      </c>
      <c r="CT24" s="362" t="s">
        <v>284</v>
      </c>
      <c r="CU24" s="362" t="s">
        <v>294</v>
      </c>
      <c r="CV24" s="362" t="s">
        <v>294</v>
      </c>
      <c r="CW24" s="362" t="s">
        <v>294</v>
      </c>
      <c r="CX24" s="362" t="s">
        <v>294</v>
      </c>
      <c r="CY24" s="362" t="s">
        <v>294</v>
      </c>
      <c r="CZ24" s="362" t="s">
        <v>294</v>
      </c>
      <c r="DA24" s="362" t="s">
        <v>294</v>
      </c>
      <c r="DB24" s="362" t="s">
        <v>294</v>
      </c>
      <c r="DC24" s="362" t="s">
        <v>294</v>
      </c>
      <c r="DD24" s="362" t="s">
        <v>294</v>
      </c>
      <c r="DE24" s="362" t="s">
        <v>294</v>
      </c>
      <c r="DF24" s="362" t="s">
        <v>294</v>
      </c>
      <c r="DG24" s="362" t="s">
        <v>294</v>
      </c>
      <c r="DH24" s="362" t="s">
        <v>294</v>
      </c>
      <c r="DI24" s="362" t="s">
        <v>294</v>
      </c>
      <c r="DJ24" s="362" t="s">
        <v>294</v>
      </c>
      <c r="DK24" s="362" t="s">
        <v>294</v>
      </c>
      <c r="DL24" s="362" t="s">
        <v>294</v>
      </c>
      <c r="DM24" s="362" t="s">
        <v>294</v>
      </c>
      <c r="DN24" s="362" t="s">
        <v>294</v>
      </c>
      <c r="DO24" s="362" t="s">
        <v>294</v>
      </c>
      <c r="DP24" s="362" t="s">
        <v>294</v>
      </c>
      <c r="DQ24" s="362" t="s">
        <v>294</v>
      </c>
    </row>
    <row r="25" spans="1:121" x14ac:dyDescent="0.25">
      <c r="A25" s="362" t="s">
        <v>317</v>
      </c>
      <c r="B25" s="56" t="str">
        <f>VLOOKUP(Table3[[#This Row],[Station]], StationName, 2, FALSE)</f>
        <v>J06-10011-1 (J06P01)</v>
      </c>
      <c r="C25" s="362">
        <v>1719003</v>
      </c>
      <c r="D25" s="221">
        <v>44342.365277777775</v>
      </c>
      <c r="E25" s="362" t="s">
        <v>283</v>
      </c>
      <c r="F25" s="362">
        <v>81</v>
      </c>
      <c r="G25" s="362">
        <v>94</v>
      </c>
      <c r="H25" s="362">
        <v>111</v>
      </c>
      <c r="I25" s="362">
        <v>93</v>
      </c>
      <c r="J25" s="362">
        <v>73</v>
      </c>
      <c r="K25" s="362">
        <v>70</v>
      </c>
      <c r="L25" s="362">
        <v>89</v>
      </c>
      <c r="M25" s="362">
        <v>79</v>
      </c>
      <c r="N25" s="362">
        <v>60</v>
      </c>
      <c r="O25" s="362" t="s">
        <v>259</v>
      </c>
      <c r="P25" s="362" t="s">
        <v>259</v>
      </c>
      <c r="Q25" s="362" t="s">
        <v>259</v>
      </c>
      <c r="R25" s="362" t="s">
        <v>259</v>
      </c>
      <c r="S25" s="362" t="s">
        <v>259</v>
      </c>
      <c r="T25" s="362" t="s">
        <v>259</v>
      </c>
      <c r="U25" s="362" t="s">
        <v>256</v>
      </c>
      <c r="V25" s="362" t="s">
        <v>256</v>
      </c>
      <c r="W25" s="362" t="s">
        <v>256</v>
      </c>
      <c r="X25" s="362" t="s">
        <v>256</v>
      </c>
      <c r="Y25" s="362" t="s">
        <v>284</v>
      </c>
      <c r="Z25" s="362" t="s">
        <v>256</v>
      </c>
      <c r="AA25" s="362" t="s">
        <v>256</v>
      </c>
      <c r="AB25" s="362" t="s">
        <v>256</v>
      </c>
      <c r="AC25" s="362" t="s">
        <v>256</v>
      </c>
      <c r="AD25" s="362" t="s">
        <v>256</v>
      </c>
      <c r="AE25" s="362" t="s">
        <v>256</v>
      </c>
      <c r="AF25" s="362" t="s">
        <v>256</v>
      </c>
      <c r="AG25" s="362" t="s">
        <v>256</v>
      </c>
      <c r="AH25" s="362" t="s">
        <v>256</v>
      </c>
      <c r="AI25" s="362" t="s">
        <v>256</v>
      </c>
      <c r="AJ25" s="362" t="s">
        <v>248</v>
      </c>
      <c r="AK25" s="362" t="s">
        <v>259</v>
      </c>
      <c r="AL25" s="362" t="s">
        <v>259</v>
      </c>
      <c r="AM25" s="362" t="s">
        <v>251</v>
      </c>
      <c r="AN25" s="362" t="s">
        <v>256</v>
      </c>
      <c r="AO25" s="362" t="s">
        <v>259</v>
      </c>
      <c r="AP25" s="362" t="s">
        <v>251</v>
      </c>
      <c r="AQ25" s="362" t="s">
        <v>256</v>
      </c>
      <c r="AR25" s="362" t="s">
        <v>256</v>
      </c>
      <c r="AS25" s="362" t="s">
        <v>285</v>
      </c>
      <c r="AT25" s="362" t="s">
        <v>259</v>
      </c>
      <c r="AU25" s="362" t="s">
        <v>284</v>
      </c>
      <c r="AV25" s="362" t="s">
        <v>259</v>
      </c>
      <c r="AW25" s="362" t="s">
        <v>256</v>
      </c>
      <c r="AX25" s="362" t="s">
        <v>256</v>
      </c>
      <c r="AY25" s="362" t="s">
        <v>256</v>
      </c>
      <c r="AZ25" s="362" t="s">
        <v>256</v>
      </c>
      <c r="BA25" s="362" t="s">
        <v>256</v>
      </c>
      <c r="BB25" s="362" t="s">
        <v>259</v>
      </c>
      <c r="BC25" s="362" t="s">
        <v>286</v>
      </c>
      <c r="BD25" s="362" t="s">
        <v>248</v>
      </c>
      <c r="BE25" s="362" t="s">
        <v>259</v>
      </c>
      <c r="BF25" s="362" t="s">
        <v>248</v>
      </c>
      <c r="BG25" s="362" t="s">
        <v>256</v>
      </c>
      <c r="BH25" s="362" t="s">
        <v>256</v>
      </c>
      <c r="BI25" s="362" t="s">
        <v>256</v>
      </c>
      <c r="BJ25" s="362" t="s">
        <v>256</v>
      </c>
      <c r="BK25" s="362" t="s">
        <v>256</v>
      </c>
      <c r="BL25" s="362" t="s">
        <v>256</v>
      </c>
      <c r="BM25" s="362" t="s">
        <v>259</v>
      </c>
      <c r="BN25" s="362" t="s">
        <v>256</v>
      </c>
      <c r="BO25" s="362" t="s">
        <v>259</v>
      </c>
      <c r="BP25" s="362" t="s">
        <v>284</v>
      </c>
      <c r="BQ25" s="362" t="s">
        <v>256</v>
      </c>
      <c r="BR25" s="362" t="s">
        <v>256</v>
      </c>
      <c r="BS25" s="362" t="s">
        <v>256</v>
      </c>
      <c r="BT25" s="362" t="s">
        <v>284</v>
      </c>
      <c r="BU25" s="362">
        <v>1.2</v>
      </c>
      <c r="BV25" s="362" t="s">
        <v>248</v>
      </c>
      <c r="BW25" s="362" t="s">
        <v>285</v>
      </c>
      <c r="BX25" s="362" t="s">
        <v>287</v>
      </c>
      <c r="BY25" s="362" t="s">
        <v>259</v>
      </c>
      <c r="BZ25" s="362" t="s">
        <v>259</v>
      </c>
      <c r="CA25" s="362">
        <v>5.9</v>
      </c>
      <c r="CB25" s="362">
        <v>0.39</v>
      </c>
      <c r="CC25" s="362">
        <v>269</v>
      </c>
      <c r="CD25" s="362">
        <v>0.27</v>
      </c>
      <c r="CE25" s="362">
        <v>0.37</v>
      </c>
      <c r="CF25" s="362">
        <v>3.9</v>
      </c>
      <c r="CG25" s="362">
        <v>1</v>
      </c>
      <c r="CH25" s="362">
        <v>1050</v>
      </c>
      <c r="CI25" s="362">
        <v>23</v>
      </c>
      <c r="CJ25" s="362" t="s">
        <v>254</v>
      </c>
      <c r="CK25" s="362">
        <v>90.9</v>
      </c>
      <c r="CL25" s="362">
        <v>320</v>
      </c>
      <c r="CM25" s="362" t="s">
        <v>288</v>
      </c>
      <c r="CN25" s="362" t="s">
        <v>288</v>
      </c>
      <c r="CO25" s="362">
        <v>3.9</v>
      </c>
      <c r="CP25" s="362">
        <v>7.9</v>
      </c>
      <c r="CQ25" s="362" t="s">
        <v>254</v>
      </c>
      <c r="CR25" s="362" t="s">
        <v>254</v>
      </c>
      <c r="CS25" s="362">
        <v>1.2</v>
      </c>
      <c r="CT25" s="362" t="s">
        <v>284</v>
      </c>
      <c r="CU25" s="362" t="s">
        <v>153</v>
      </c>
      <c r="CV25" s="362">
        <v>400</v>
      </c>
      <c r="CW25" s="362">
        <v>1.7</v>
      </c>
      <c r="CX25" s="362">
        <v>0.48</v>
      </c>
      <c r="CY25" s="362">
        <v>4.1000000000000002E-2</v>
      </c>
      <c r="CZ25" s="362">
        <v>7.93</v>
      </c>
      <c r="DA25" s="362" t="s">
        <v>318</v>
      </c>
      <c r="DB25" s="362">
        <v>3500</v>
      </c>
      <c r="DC25" s="362">
        <v>860</v>
      </c>
      <c r="DD25" s="362">
        <v>22.7</v>
      </c>
      <c r="DE25" s="362">
        <v>2300</v>
      </c>
      <c r="DF25" s="362" t="s">
        <v>289</v>
      </c>
      <c r="DG25" s="362">
        <v>3.1</v>
      </c>
      <c r="DH25" s="362">
        <v>0.19</v>
      </c>
      <c r="DI25" s="362">
        <v>80</v>
      </c>
      <c r="DJ25" s="362">
        <v>20</v>
      </c>
      <c r="DK25" s="362">
        <v>20</v>
      </c>
      <c r="DL25" s="362" t="s">
        <v>319</v>
      </c>
      <c r="DM25" s="362">
        <v>8.74</v>
      </c>
      <c r="DN25" s="362">
        <v>7.94</v>
      </c>
      <c r="DO25" s="362">
        <v>3175</v>
      </c>
      <c r="DP25" s="362">
        <v>18.02</v>
      </c>
      <c r="DQ25" s="362">
        <v>3.79</v>
      </c>
    </row>
    <row r="26" spans="1:121" hidden="1" x14ac:dyDescent="0.25">
      <c r="A26" s="362" t="s">
        <v>317</v>
      </c>
      <c r="B26" s="56" t="str">
        <f>VLOOKUP(Table3[[#This Row],[Station]], StationName, 2, FALSE)</f>
        <v>J06-10011-1 (J06P01)</v>
      </c>
      <c r="C26" s="362">
        <v>1719006</v>
      </c>
      <c r="D26" s="221">
        <v>44342.365277777775</v>
      </c>
      <c r="E26" s="362" t="s">
        <v>293</v>
      </c>
      <c r="F26" s="362" t="s">
        <v>294</v>
      </c>
      <c r="G26" s="362" t="s">
        <v>294</v>
      </c>
      <c r="H26" s="362" t="s">
        <v>294</v>
      </c>
      <c r="I26" s="362" t="s">
        <v>294</v>
      </c>
      <c r="J26" s="362" t="s">
        <v>294</v>
      </c>
      <c r="K26" s="362" t="s">
        <v>294</v>
      </c>
      <c r="L26" s="362" t="s">
        <v>294</v>
      </c>
      <c r="M26" s="362" t="s">
        <v>294</v>
      </c>
      <c r="N26" s="362" t="s">
        <v>294</v>
      </c>
      <c r="O26" s="362" t="s">
        <v>294</v>
      </c>
      <c r="P26" s="362" t="s">
        <v>294</v>
      </c>
      <c r="Q26" s="362" t="s">
        <v>294</v>
      </c>
      <c r="R26" s="362" t="s">
        <v>294</v>
      </c>
      <c r="S26" s="362" t="s">
        <v>294</v>
      </c>
      <c r="T26" s="362" t="s">
        <v>294</v>
      </c>
      <c r="U26" s="362" t="s">
        <v>294</v>
      </c>
      <c r="V26" s="362" t="s">
        <v>294</v>
      </c>
      <c r="W26" s="362" t="s">
        <v>294</v>
      </c>
      <c r="X26" s="362" t="s">
        <v>294</v>
      </c>
      <c r="Y26" s="362" t="s">
        <v>294</v>
      </c>
      <c r="Z26" s="362" t="s">
        <v>294</v>
      </c>
      <c r="AA26" s="362" t="s">
        <v>294</v>
      </c>
      <c r="AB26" s="362" t="s">
        <v>294</v>
      </c>
      <c r="AC26" s="362" t="s">
        <v>294</v>
      </c>
      <c r="AD26" s="362" t="s">
        <v>294</v>
      </c>
      <c r="AE26" s="362" t="s">
        <v>294</v>
      </c>
      <c r="AF26" s="362" t="s">
        <v>294</v>
      </c>
      <c r="AG26" s="362" t="s">
        <v>294</v>
      </c>
      <c r="AH26" s="362" t="s">
        <v>294</v>
      </c>
      <c r="AI26" s="362" t="s">
        <v>294</v>
      </c>
      <c r="AJ26" s="362" t="s">
        <v>294</v>
      </c>
      <c r="AK26" s="362" t="s">
        <v>294</v>
      </c>
      <c r="AL26" s="362" t="s">
        <v>294</v>
      </c>
      <c r="AM26" s="362" t="s">
        <v>294</v>
      </c>
      <c r="AN26" s="362" t="s">
        <v>294</v>
      </c>
      <c r="AO26" s="362" t="s">
        <v>294</v>
      </c>
      <c r="AP26" s="362" t="s">
        <v>294</v>
      </c>
      <c r="AQ26" s="362" t="s">
        <v>294</v>
      </c>
      <c r="AR26" s="362" t="s">
        <v>294</v>
      </c>
      <c r="AS26" s="362" t="s">
        <v>294</v>
      </c>
      <c r="AT26" s="362" t="s">
        <v>294</v>
      </c>
      <c r="AU26" s="362" t="s">
        <v>294</v>
      </c>
      <c r="AV26" s="362" t="s">
        <v>294</v>
      </c>
      <c r="AW26" s="362" t="s">
        <v>294</v>
      </c>
      <c r="AX26" s="362" t="s">
        <v>294</v>
      </c>
      <c r="AY26" s="362" t="s">
        <v>294</v>
      </c>
      <c r="AZ26" s="362" t="s">
        <v>294</v>
      </c>
      <c r="BA26" s="362" t="s">
        <v>294</v>
      </c>
      <c r="BB26" s="362" t="s">
        <v>294</v>
      </c>
      <c r="BC26" s="362" t="s">
        <v>294</v>
      </c>
      <c r="BD26" s="362" t="s">
        <v>294</v>
      </c>
      <c r="BE26" s="362" t="s">
        <v>294</v>
      </c>
      <c r="BF26" s="362" t="s">
        <v>294</v>
      </c>
      <c r="BG26" s="362" t="s">
        <v>294</v>
      </c>
      <c r="BH26" s="362" t="s">
        <v>294</v>
      </c>
      <c r="BI26" s="362" t="s">
        <v>294</v>
      </c>
      <c r="BJ26" s="362" t="s">
        <v>294</v>
      </c>
      <c r="BK26" s="362" t="s">
        <v>294</v>
      </c>
      <c r="BL26" s="362" t="s">
        <v>294</v>
      </c>
      <c r="BM26" s="362" t="s">
        <v>294</v>
      </c>
      <c r="BN26" s="362" t="s">
        <v>294</v>
      </c>
      <c r="BO26" s="362" t="s">
        <v>294</v>
      </c>
      <c r="BP26" s="362" t="s">
        <v>294</v>
      </c>
      <c r="BQ26" s="362" t="s">
        <v>294</v>
      </c>
      <c r="BR26" s="362" t="s">
        <v>294</v>
      </c>
      <c r="BS26" s="362" t="s">
        <v>294</v>
      </c>
      <c r="BT26" s="362" t="s">
        <v>294</v>
      </c>
      <c r="BU26" s="362" t="s">
        <v>294</v>
      </c>
      <c r="BV26" s="362" t="s">
        <v>294</v>
      </c>
      <c r="BW26" s="362" t="s">
        <v>294</v>
      </c>
      <c r="BX26" s="362" t="s">
        <v>294</v>
      </c>
      <c r="BY26" s="362" t="s">
        <v>294</v>
      </c>
      <c r="BZ26" s="362" t="s">
        <v>294</v>
      </c>
      <c r="CA26" s="362">
        <v>5.8</v>
      </c>
      <c r="CB26" s="362" t="s">
        <v>254</v>
      </c>
      <c r="CC26" s="362">
        <v>266</v>
      </c>
      <c r="CD26" s="362">
        <v>0.32</v>
      </c>
      <c r="CE26" s="362">
        <v>0.36</v>
      </c>
      <c r="CF26" s="362">
        <v>2.6</v>
      </c>
      <c r="CG26" s="362" t="s">
        <v>294</v>
      </c>
      <c r="CH26" s="362">
        <v>1040</v>
      </c>
      <c r="CI26" s="362" t="s">
        <v>286</v>
      </c>
      <c r="CJ26" s="362" t="s">
        <v>254</v>
      </c>
      <c r="CK26" s="362">
        <v>92.3</v>
      </c>
      <c r="CL26" s="362">
        <v>230</v>
      </c>
      <c r="CM26" s="362" t="s">
        <v>294</v>
      </c>
      <c r="CN26" s="362" t="s">
        <v>288</v>
      </c>
      <c r="CO26" s="362">
        <v>3.9</v>
      </c>
      <c r="CP26" s="362">
        <v>8.1</v>
      </c>
      <c r="CQ26" s="362" t="s">
        <v>254</v>
      </c>
      <c r="CR26" s="362" t="s">
        <v>254</v>
      </c>
      <c r="CS26" s="362" t="s">
        <v>294</v>
      </c>
      <c r="CT26" s="362" t="s">
        <v>284</v>
      </c>
      <c r="CU26" s="362" t="s">
        <v>294</v>
      </c>
      <c r="CV26" s="362" t="s">
        <v>294</v>
      </c>
      <c r="CW26" s="362" t="s">
        <v>294</v>
      </c>
      <c r="CX26" s="362" t="s">
        <v>294</v>
      </c>
      <c r="CY26" s="362" t="s">
        <v>294</v>
      </c>
      <c r="CZ26" s="362" t="s">
        <v>294</v>
      </c>
      <c r="DA26" s="362" t="s">
        <v>294</v>
      </c>
      <c r="DB26" s="362" t="s">
        <v>294</v>
      </c>
      <c r="DC26" s="362" t="s">
        <v>294</v>
      </c>
      <c r="DD26" s="362" t="s">
        <v>294</v>
      </c>
      <c r="DE26" s="362" t="s">
        <v>294</v>
      </c>
      <c r="DF26" s="362" t="s">
        <v>294</v>
      </c>
      <c r="DG26" s="362" t="s">
        <v>294</v>
      </c>
      <c r="DH26" s="362" t="s">
        <v>294</v>
      </c>
      <c r="DI26" s="362" t="s">
        <v>294</v>
      </c>
      <c r="DJ26" s="362" t="s">
        <v>294</v>
      </c>
      <c r="DK26" s="362" t="s">
        <v>294</v>
      </c>
      <c r="DL26" s="362" t="s">
        <v>294</v>
      </c>
      <c r="DM26" s="362" t="s">
        <v>294</v>
      </c>
      <c r="DN26" s="362" t="s">
        <v>294</v>
      </c>
      <c r="DO26" s="362" t="s">
        <v>294</v>
      </c>
      <c r="DP26" s="362" t="s">
        <v>294</v>
      </c>
      <c r="DQ26" s="362" t="s">
        <v>294</v>
      </c>
    </row>
    <row r="27" spans="1:121" x14ac:dyDescent="0.25">
      <c r="A27" s="362" t="s">
        <v>320</v>
      </c>
      <c r="B27" s="56" t="str">
        <f>VLOOKUP(Table3[[#This Row],[Station]], StationName, 2, FALSE)</f>
        <v>J01-9007-1 (J02P05)</v>
      </c>
      <c r="C27" s="362">
        <v>1720003</v>
      </c>
      <c r="D27" s="221">
        <v>44342.37777777778</v>
      </c>
      <c r="E27" s="362" t="s">
        <v>283</v>
      </c>
      <c r="F27" s="362">
        <v>77</v>
      </c>
      <c r="G27" s="362">
        <v>91</v>
      </c>
      <c r="H27" s="362">
        <v>105</v>
      </c>
      <c r="I27" s="362">
        <v>91</v>
      </c>
      <c r="J27" s="362">
        <v>62</v>
      </c>
      <c r="K27" s="362">
        <v>98</v>
      </c>
      <c r="L27" s="362">
        <v>102</v>
      </c>
      <c r="M27" s="362">
        <v>92</v>
      </c>
      <c r="N27" s="362">
        <v>85</v>
      </c>
      <c r="O27" s="362" t="s">
        <v>259</v>
      </c>
      <c r="P27" s="362" t="s">
        <v>259</v>
      </c>
      <c r="Q27" s="362" t="s">
        <v>259</v>
      </c>
      <c r="R27" s="362" t="s">
        <v>259</v>
      </c>
      <c r="S27" s="362" t="s">
        <v>259</v>
      </c>
      <c r="T27" s="362" t="s">
        <v>259</v>
      </c>
      <c r="U27" s="362" t="s">
        <v>256</v>
      </c>
      <c r="V27" s="362" t="s">
        <v>256</v>
      </c>
      <c r="W27" s="362" t="s">
        <v>256</v>
      </c>
      <c r="X27" s="362" t="s">
        <v>256</v>
      </c>
      <c r="Y27" s="362" t="s">
        <v>284</v>
      </c>
      <c r="Z27" s="362" t="s">
        <v>256</v>
      </c>
      <c r="AA27" s="362" t="s">
        <v>256</v>
      </c>
      <c r="AB27" s="362" t="s">
        <v>256</v>
      </c>
      <c r="AC27" s="362" t="s">
        <v>256</v>
      </c>
      <c r="AD27" s="362" t="s">
        <v>256</v>
      </c>
      <c r="AE27" s="362" t="s">
        <v>256</v>
      </c>
      <c r="AF27" s="362" t="s">
        <v>256</v>
      </c>
      <c r="AG27" s="362" t="s">
        <v>256</v>
      </c>
      <c r="AH27" s="362" t="s">
        <v>256</v>
      </c>
      <c r="AI27" s="362" t="s">
        <v>256</v>
      </c>
      <c r="AJ27" s="362" t="s">
        <v>248</v>
      </c>
      <c r="AK27" s="362" t="s">
        <v>259</v>
      </c>
      <c r="AL27" s="362" t="s">
        <v>259</v>
      </c>
      <c r="AM27" s="362" t="s">
        <v>251</v>
      </c>
      <c r="AN27" s="362" t="s">
        <v>256</v>
      </c>
      <c r="AO27" s="362" t="s">
        <v>259</v>
      </c>
      <c r="AP27" s="362" t="s">
        <v>251</v>
      </c>
      <c r="AQ27" s="362" t="s">
        <v>256</v>
      </c>
      <c r="AR27" s="362" t="s">
        <v>256</v>
      </c>
      <c r="AS27" s="362" t="s">
        <v>285</v>
      </c>
      <c r="AT27" s="362" t="s">
        <v>259</v>
      </c>
      <c r="AU27" s="362" t="s">
        <v>284</v>
      </c>
      <c r="AV27" s="362" t="s">
        <v>259</v>
      </c>
      <c r="AW27" s="362" t="s">
        <v>256</v>
      </c>
      <c r="AX27" s="362" t="s">
        <v>256</v>
      </c>
      <c r="AY27" s="362" t="s">
        <v>256</v>
      </c>
      <c r="AZ27" s="362" t="s">
        <v>256</v>
      </c>
      <c r="BA27" s="362" t="s">
        <v>256</v>
      </c>
      <c r="BB27" s="362" t="s">
        <v>259</v>
      </c>
      <c r="BC27" s="362" t="s">
        <v>286</v>
      </c>
      <c r="BD27" s="362" t="s">
        <v>248</v>
      </c>
      <c r="BE27" s="362" t="s">
        <v>259</v>
      </c>
      <c r="BF27" s="362" t="s">
        <v>248</v>
      </c>
      <c r="BG27" s="362" t="s">
        <v>256</v>
      </c>
      <c r="BH27" s="362" t="s">
        <v>256</v>
      </c>
      <c r="BI27" s="362" t="s">
        <v>256</v>
      </c>
      <c r="BJ27" s="362" t="s">
        <v>256</v>
      </c>
      <c r="BK27" s="362" t="s">
        <v>256</v>
      </c>
      <c r="BL27" s="362" t="s">
        <v>256</v>
      </c>
      <c r="BM27" s="362" t="s">
        <v>259</v>
      </c>
      <c r="BN27" s="362" t="s">
        <v>256</v>
      </c>
      <c r="BO27" s="362" t="s">
        <v>259</v>
      </c>
      <c r="BP27" s="362" t="s">
        <v>284</v>
      </c>
      <c r="BQ27" s="362" t="s">
        <v>256</v>
      </c>
      <c r="BR27" s="362" t="s">
        <v>256</v>
      </c>
      <c r="BS27" s="362" t="s">
        <v>256</v>
      </c>
      <c r="BT27" s="362" t="s">
        <v>284</v>
      </c>
      <c r="BU27" s="362" t="s">
        <v>256</v>
      </c>
      <c r="BV27" s="362" t="s">
        <v>248</v>
      </c>
      <c r="BW27" s="362" t="s">
        <v>285</v>
      </c>
      <c r="BX27" s="362" t="s">
        <v>287</v>
      </c>
      <c r="BY27" s="362" t="s">
        <v>259</v>
      </c>
      <c r="BZ27" s="362" t="s">
        <v>259</v>
      </c>
      <c r="CA27" s="362">
        <v>2.2000000000000002</v>
      </c>
      <c r="CB27" s="362">
        <v>0.21</v>
      </c>
      <c r="CC27" s="362">
        <v>116</v>
      </c>
      <c r="CD27" s="362">
        <v>1.1000000000000001</v>
      </c>
      <c r="CE27" s="362">
        <v>1.1000000000000001</v>
      </c>
      <c r="CF27" s="362">
        <v>6.7</v>
      </c>
      <c r="CG27" s="362">
        <v>6.6</v>
      </c>
      <c r="CH27" s="362">
        <v>418</v>
      </c>
      <c r="CI27" s="362">
        <v>50</v>
      </c>
      <c r="CJ27" s="362" t="s">
        <v>254</v>
      </c>
      <c r="CK27" s="362">
        <v>31</v>
      </c>
      <c r="CL27" s="362">
        <v>5.5</v>
      </c>
      <c r="CM27" s="362">
        <v>7.0999999999999994E-2</v>
      </c>
      <c r="CN27" s="362" t="s">
        <v>288</v>
      </c>
      <c r="CO27" s="362">
        <v>2.9</v>
      </c>
      <c r="CP27" s="362">
        <v>2.1</v>
      </c>
      <c r="CQ27" s="362" t="s">
        <v>254</v>
      </c>
      <c r="CR27" s="362" t="s">
        <v>254</v>
      </c>
      <c r="CS27" s="362">
        <v>7.4</v>
      </c>
      <c r="CT27" s="362">
        <v>20</v>
      </c>
      <c r="CU27" s="362">
        <v>1.7</v>
      </c>
      <c r="CV27" s="362">
        <v>300</v>
      </c>
      <c r="CW27" s="362">
        <v>3.8</v>
      </c>
      <c r="CX27" s="362">
        <v>2.5</v>
      </c>
      <c r="CY27" s="362">
        <v>0.33</v>
      </c>
      <c r="CZ27" s="362">
        <v>7.67</v>
      </c>
      <c r="DA27" s="362">
        <v>1.4</v>
      </c>
      <c r="DB27" s="362">
        <v>2200</v>
      </c>
      <c r="DC27" s="362">
        <v>310</v>
      </c>
      <c r="DD27" s="362">
        <v>22.8</v>
      </c>
      <c r="DE27" s="362">
        <v>1100</v>
      </c>
      <c r="DF27" s="362" t="s">
        <v>321</v>
      </c>
      <c r="DG27" s="362">
        <v>12</v>
      </c>
      <c r="DH27" s="362">
        <v>1.5</v>
      </c>
      <c r="DI27" s="362">
        <v>1330</v>
      </c>
      <c r="DJ27" s="362" t="s">
        <v>322</v>
      </c>
      <c r="DK27" s="362">
        <v>600</v>
      </c>
      <c r="DL27" s="362" t="s">
        <v>323</v>
      </c>
      <c r="DM27" s="362">
        <v>8.8699999999999992</v>
      </c>
      <c r="DN27" s="362">
        <v>8.25</v>
      </c>
      <c r="DO27" s="362">
        <v>2538</v>
      </c>
      <c r="DP27" s="362">
        <v>20.3</v>
      </c>
      <c r="DQ27" s="362">
        <v>2.66</v>
      </c>
    </row>
    <row r="28" spans="1:121" hidden="1" x14ac:dyDescent="0.25">
      <c r="A28" s="362" t="s">
        <v>320</v>
      </c>
      <c r="B28" s="56" t="str">
        <f>VLOOKUP(Table3[[#This Row],[Station]], StationName, 2, FALSE)</f>
        <v>J01-9007-1 (J02P05)</v>
      </c>
      <c r="C28" s="362">
        <v>1720007</v>
      </c>
      <c r="D28" s="221">
        <v>44342.37777777778</v>
      </c>
      <c r="E28" s="362" t="s">
        <v>293</v>
      </c>
      <c r="F28" s="362" t="s">
        <v>294</v>
      </c>
      <c r="G28" s="362" t="s">
        <v>294</v>
      </c>
      <c r="H28" s="362" t="s">
        <v>294</v>
      </c>
      <c r="I28" s="362" t="s">
        <v>294</v>
      </c>
      <c r="J28" s="362" t="s">
        <v>294</v>
      </c>
      <c r="K28" s="362" t="s">
        <v>294</v>
      </c>
      <c r="L28" s="362" t="s">
        <v>294</v>
      </c>
      <c r="M28" s="362" t="s">
        <v>294</v>
      </c>
      <c r="N28" s="362" t="s">
        <v>294</v>
      </c>
      <c r="O28" s="362" t="s">
        <v>294</v>
      </c>
      <c r="P28" s="362" t="s">
        <v>294</v>
      </c>
      <c r="Q28" s="362" t="s">
        <v>294</v>
      </c>
      <c r="R28" s="362" t="s">
        <v>294</v>
      </c>
      <c r="S28" s="362" t="s">
        <v>294</v>
      </c>
      <c r="T28" s="362" t="s">
        <v>294</v>
      </c>
      <c r="U28" s="362" t="s">
        <v>294</v>
      </c>
      <c r="V28" s="362" t="s">
        <v>294</v>
      </c>
      <c r="W28" s="362" t="s">
        <v>294</v>
      </c>
      <c r="X28" s="362" t="s">
        <v>294</v>
      </c>
      <c r="Y28" s="362" t="s">
        <v>294</v>
      </c>
      <c r="Z28" s="362" t="s">
        <v>294</v>
      </c>
      <c r="AA28" s="362" t="s">
        <v>294</v>
      </c>
      <c r="AB28" s="362" t="s">
        <v>294</v>
      </c>
      <c r="AC28" s="362" t="s">
        <v>294</v>
      </c>
      <c r="AD28" s="362" t="s">
        <v>294</v>
      </c>
      <c r="AE28" s="362" t="s">
        <v>294</v>
      </c>
      <c r="AF28" s="362" t="s">
        <v>294</v>
      </c>
      <c r="AG28" s="362" t="s">
        <v>294</v>
      </c>
      <c r="AH28" s="362" t="s">
        <v>294</v>
      </c>
      <c r="AI28" s="362" t="s">
        <v>294</v>
      </c>
      <c r="AJ28" s="362" t="s">
        <v>294</v>
      </c>
      <c r="AK28" s="362" t="s">
        <v>294</v>
      </c>
      <c r="AL28" s="362" t="s">
        <v>294</v>
      </c>
      <c r="AM28" s="362" t="s">
        <v>294</v>
      </c>
      <c r="AN28" s="362" t="s">
        <v>294</v>
      </c>
      <c r="AO28" s="362" t="s">
        <v>294</v>
      </c>
      <c r="AP28" s="362" t="s">
        <v>294</v>
      </c>
      <c r="AQ28" s="362" t="s">
        <v>294</v>
      </c>
      <c r="AR28" s="362" t="s">
        <v>294</v>
      </c>
      <c r="AS28" s="362" t="s">
        <v>294</v>
      </c>
      <c r="AT28" s="362" t="s">
        <v>294</v>
      </c>
      <c r="AU28" s="362" t="s">
        <v>294</v>
      </c>
      <c r="AV28" s="362" t="s">
        <v>294</v>
      </c>
      <c r="AW28" s="362" t="s">
        <v>294</v>
      </c>
      <c r="AX28" s="362" t="s">
        <v>294</v>
      </c>
      <c r="AY28" s="362" t="s">
        <v>294</v>
      </c>
      <c r="AZ28" s="362" t="s">
        <v>294</v>
      </c>
      <c r="BA28" s="362" t="s">
        <v>294</v>
      </c>
      <c r="BB28" s="362" t="s">
        <v>294</v>
      </c>
      <c r="BC28" s="362" t="s">
        <v>294</v>
      </c>
      <c r="BD28" s="362" t="s">
        <v>294</v>
      </c>
      <c r="BE28" s="362" t="s">
        <v>294</v>
      </c>
      <c r="BF28" s="362" t="s">
        <v>294</v>
      </c>
      <c r="BG28" s="362" t="s">
        <v>294</v>
      </c>
      <c r="BH28" s="362" t="s">
        <v>294</v>
      </c>
      <c r="BI28" s="362" t="s">
        <v>294</v>
      </c>
      <c r="BJ28" s="362" t="s">
        <v>294</v>
      </c>
      <c r="BK28" s="362" t="s">
        <v>294</v>
      </c>
      <c r="BL28" s="362" t="s">
        <v>294</v>
      </c>
      <c r="BM28" s="362" t="s">
        <v>294</v>
      </c>
      <c r="BN28" s="362" t="s">
        <v>294</v>
      </c>
      <c r="BO28" s="362" t="s">
        <v>294</v>
      </c>
      <c r="BP28" s="362" t="s">
        <v>294</v>
      </c>
      <c r="BQ28" s="362" t="s">
        <v>294</v>
      </c>
      <c r="BR28" s="362" t="s">
        <v>294</v>
      </c>
      <c r="BS28" s="362" t="s">
        <v>294</v>
      </c>
      <c r="BT28" s="362" t="s">
        <v>294</v>
      </c>
      <c r="BU28" s="362" t="s">
        <v>294</v>
      </c>
      <c r="BV28" s="362" t="s">
        <v>294</v>
      </c>
      <c r="BW28" s="362" t="s">
        <v>294</v>
      </c>
      <c r="BX28" s="362" t="s">
        <v>294</v>
      </c>
      <c r="BY28" s="362" t="s">
        <v>294</v>
      </c>
      <c r="BZ28" s="362" t="s">
        <v>294</v>
      </c>
      <c r="CA28" s="362">
        <v>2.2999999999999998</v>
      </c>
      <c r="CB28" s="362">
        <v>0.23</v>
      </c>
      <c r="CC28" s="362" t="s">
        <v>294</v>
      </c>
      <c r="CD28" s="362">
        <v>0.97</v>
      </c>
      <c r="CE28" s="362">
        <v>1.1000000000000001</v>
      </c>
      <c r="CF28" s="362">
        <v>6.1</v>
      </c>
      <c r="CG28" s="362" t="s">
        <v>294</v>
      </c>
      <c r="CH28" s="362" t="s">
        <v>294</v>
      </c>
      <c r="CI28" s="362" t="s">
        <v>286</v>
      </c>
      <c r="CJ28" s="362" t="s">
        <v>254</v>
      </c>
      <c r="CK28" s="362" t="s">
        <v>294</v>
      </c>
      <c r="CL28" s="362">
        <v>4.5</v>
      </c>
      <c r="CM28" s="362" t="s">
        <v>294</v>
      </c>
      <c r="CN28" s="362" t="s">
        <v>288</v>
      </c>
      <c r="CO28" s="362">
        <v>2.9</v>
      </c>
      <c r="CP28" s="362">
        <v>2.2000000000000002</v>
      </c>
      <c r="CQ28" s="362" t="s">
        <v>254</v>
      </c>
      <c r="CR28" s="362" t="s">
        <v>254</v>
      </c>
      <c r="CS28" s="362" t="s">
        <v>294</v>
      </c>
      <c r="CT28" s="362">
        <v>18</v>
      </c>
      <c r="CU28" s="362" t="s">
        <v>294</v>
      </c>
      <c r="CV28" s="362" t="s">
        <v>294</v>
      </c>
      <c r="CW28" s="362" t="s">
        <v>294</v>
      </c>
      <c r="CX28" s="362" t="s">
        <v>294</v>
      </c>
      <c r="CY28" s="362" t="s">
        <v>294</v>
      </c>
      <c r="CZ28" s="362" t="s">
        <v>294</v>
      </c>
      <c r="DA28" s="362" t="s">
        <v>294</v>
      </c>
      <c r="DB28" s="362" t="s">
        <v>294</v>
      </c>
      <c r="DC28" s="362" t="s">
        <v>294</v>
      </c>
      <c r="DD28" s="362" t="s">
        <v>294</v>
      </c>
      <c r="DE28" s="362" t="s">
        <v>294</v>
      </c>
      <c r="DF28" s="362" t="s">
        <v>294</v>
      </c>
      <c r="DG28" s="362" t="s">
        <v>294</v>
      </c>
      <c r="DH28" s="362" t="s">
        <v>294</v>
      </c>
      <c r="DI28" s="362" t="s">
        <v>294</v>
      </c>
      <c r="DJ28" s="362" t="s">
        <v>294</v>
      </c>
      <c r="DK28" s="362" t="s">
        <v>294</v>
      </c>
      <c r="DL28" s="362" t="s">
        <v>294</v>
      </c>
      <c r="DM28" s="362" t="s">
        <v>294</v>
      </c>
      <c r="DN28" s="362" t="s">
        <v>294</v>
      </c>
      <c r="DO28" s="362" t="s">
        <v>294</v>
      </c>
      <c r="DP28" s="362" t="s">
        <v>294</v>
      </c>
      <c r="DQ28" s="362" t="s">
        <v>294</v>
      </c>
    </row>
    <row r="29" spans="1:121" x14ac:dyDescent="0.25">
      <c r="A29" s="362" t="s">
        <v>111</v>
      </c>
      <c r="B29" s="56" t="str">
        <f>VLOOKUP(Table3[[#This Row],[Station]], StationName, 2, FALSE)</f>
        <v>L01-340-1</v>
      </c>
      <c r="C29" s="362">
        <v>1724002</v>
      </c>
      <c r="D29" s="221">
        <v>44342.384027777778</v>
      </c>
      <c r="E29" s="362" t="s">
        <v>283</v>
      </c>
      <c r="F29" s="362">
        <v>77</v>
      </c>
      <c r="G29" s="362">
        <v>92</v>
      </c>
      <c r="H29" s="362">
        <v>115</v>
      </c>
      <c r="I29" s="362">
        <v>92</v>
      </c>
      <c r="J29" s="362">
        <v>63</v>
      </c>
      <c r="K29" s="362">
        <v>96</v>
      </c>
      <c r="L29" s="362">
        <v>99</v>
      </c>
      <c r="M29" s="362">
        <v>87</v>
      </c>
      <c r="N29" s="362">
        <v>89</v>
      </c>
      <c r="O29" s="362" t="s">
        <v>259</v>
      </c>
      <c r="P29" s="362" t="s">
        <v>259</v>
      </c>
      <c r="Q29" s="362" t="s">
        <v>259</v>
      </c>
      <c r="R29" s="362" t="s">
        <v>259</v>
      </c>
      <c r="S29" s="362" t="s">
        <v>259</v>
      </c>
      <c r="T29" s="362" t="s">
        <v>259</v>
      </c>
      <c r="U29" s="362" t="s">
        <v>256</v>
      </c>
      <c r="V29" s="362" t="s">
        <v>256</v>
      </c>
      <c r="W29" s="362" t="s">
        <v>256</v>
      </c>
      <c r="X29" s="362" t="s">
        <v>256</v>
      </c>
      <c r="Y29" s="362" t="s">
        <v>284</v>
      </c>
      <c r="Z29" s="362" t="s">
        <v>256</v>
      </c>
      <c r="AA29" s="362" t="s">
        <v>256</v>
      </c>
      <c r="AB29" s="362" t="s">
        <v>256</v>
      </c>
      <c r="AC29" s="362" t="s">
        <v>256</v>
      </c>
      <c r="AD29" s="362" t="s">
        <v>256</v>
      </c>
      <c r="AE29" s="362" t="s">
        <v>256</v>
      </c>
      <c r="AF29" s="362" t="s">
        <v>256</v>
      </c>
      <c r="AG29" s="362" t="s">
        <v>256</v>
      </c>
      <c r="AH29" s="362" t="s">
        <v>256</v>
      </c>
      <c r="AI29" s="362" t="s">
        <v>256</v>
      </c>
      <c r="AJ29" s="362" t="s">
        <v>248</v>
      </c>
      <c r="AK29" s="362" t="s">
        <v>259</v>
      </c>
      <c r="AL29" s="362" t="s">
        <v>259</v>
      </c>
      <c r="AM29" s="362" t="s">
        <v>251</v>
      </c>
      <c r="AN29" s="362" t="s">
        <v>256</v>
      </c>
      <c r="AO29" s="362" t="s">
        <v>259</v>
      </c>
      <c r="AP29" s="362" t="s">
        <v>251</v>
      </c>
      <c r="AQ29" s="362" t="s">
        <v>256</v>
      </c>
      <c r="AR29" s="362" t="s">
        <v>256</v>
      </c>
      <c r="AS29" s="362" t="s">
        <v>285</v>
      </c>
      <c r="AT29" s="362" t="s">
        <v>259</v>
      </c>
      <c r="AU29" s="362" t="s">
        <v>284</v>
      </c>
      <c r="AV29" s="362" t="s">
        <v>259</v>
      </c>
      <c r="AW29" s="362" t="s">
        <v>256</v>
      </c>
      <c r="AX29" s="362" t="s">
        <v>256</v>
      </c>
      <c r="AY29" s="362" t="s">
        <v>256</v>
      </c>
      <c r="AZ29" s="362" t="s">
        <v>256</v>
      </c>
      <c r="BA29" s="362" t="s">
        <v>256</v>
      </c>
      <c r="BB29" s="362" t="s">
        <v>259</v>
      </c>
      <c r="BC29" s="362" t="s">
        <v>286</v>
      </c>
      <c r="BD29" s="362" t="s">
        <v>248</v>
      </c>
      <c r="BE29" s="362" t="s">
        <v>259</v>
      </c>
      <c r="BF29" s="362" t="s">
        <v>248</v>
      </c>
      <c r="BG29" s="362" t="s">
        <v>256</v>
      </c>
      <c r="BH29" s="362" t="s">
        <v>256</v>
      </c>
      <c r="BI29" s="362" t="s">
        <v>256</v>
      </c>
      <c r="BJ29" s="362" t="s">
        <v>256</v>
      </c>
      <c r="BK29" s="362" t="s">
        <v>256</v>
      </c>
      <c r="BL29" s="362" t="s">
        <v>256</v>
      </c>
      <c r="BM29" s="362" t="s">
        <v>259</v>
      </c>
      <c r="BN29" s="362" t="s">
        <v>256</v>
      </c>
      <c r="BO29" s="362" t="s">
        <v>259</v>
      </c>
      <c r="BP29" s="362" t="s">
        <v>284</v>
      </c>
      <c r="BQ29" s="362" t="s">
        <v>256</v>
      </c>
      <c r="BR29" s="362" t="s">
        <v>256</v>
      </c>
      <c r="BS29" s="362" t="s">
        <v>256</v>
      </c>
      <c r="BT29" s="362" t="s">
        <v>284</v>
      </c>
      <c r="BU29" s="362" t="s">
        <v>256</v>
      </c>
      <c r="BV29" s="362" t="s">
        <v>248</v>
      </c>
      <c r="BW29" s="362" t="s">
        <v>285</v>
      </c>
      <c r="BX29" s="362" t="s">
        <v>287</v>
      </c>
      <c r="BY29" s="362" t="s">
        <v>259</v>
      </c>
      <c r="BZ29" s="362" t="s">
        <v>259</v>
      </c>
      <c r="CA29" s="362">
        <v>3</v>
      </c>
      <c r="CB29" s="362" t="s">
        <v>254</v>
      </c>
      <c r="CC29" s="362">
        <v>126</v>
      </c>
      <c r="CD29" s="362">
        <v>0.12</v>
      </c>
      <c r="CE29" s="362">
        <v>0.28000000000000003</v>
      </c>
      <c r="CF29" s="362">
        <v>5.0999999999999996</v>
      </c>
      <c r="CG29" s="362">
        <v>6.9</v>
      </c>
      <c r="CH29" s="362">
        <v>428</v>
      </c>
      <c r="CI29" s="362">
        <v>42</v>
      </c>
      <c r="CJ29" s="362" t="s">
        <v>254</v>
      </c>
      <c r="CK29" s="362">
        <v>27.8</v>
      </c>
      <c r="CL29" s="362">
        <v>9.1999999999999993</v>
      </c>
      <c r="CM29" s="362" t="s">
        <v>288</v>
      </c>
      <c r="CN29" s="362" t="s">
        <v>288</v>
      </c>
      <c r="CO29" s="362" t="s">
        <v>259</v>
      </c>
      <c r="CP29" s="362">
        <v>1.4</v>
      </c>
      <c r="CQ29" s="362" t="s">
        <v>254</v>
      </c>
      <c r="CR29" s="362" t="s">
        <v>254</v>
      </c>
      <c r="CS29" s="362">
        <v>7.5</v>
      </c>
      <c r="CT29" s="362" t="s">
        <v>284</v>
      </c>
      <c r="CU29" s="362">
        <v>0.14000000000000001</v>
      </c>
      <c r="CV29" s="362">
        <v>190</v>
      </c>
      <c r="CW29" s="362">
        <v>1.3</v>
      </c>
      <c r="CX29" s="362">
        <v>2.2999999999999998</v>
      </c>
      <c r="CY29" s="362">
        <v>0.21</v>
      </c>
      <c r="CZ29" s="362">
        <v>8.24</v>
      </c>
      <c r="DA29" s="362">
        <v>1.1000000000000001</v>
      </c>
      <c r="DB29" s="362">
        <v>1900</v>
      </c>
      <c r="DC29" s="362">
        <v>310</v>
      </c>
      <c r="DD29" s="362">
        <v>22.2</v>
      </c>
      <c r="DE29" s="362">
        <v>950</v>
      </c>
      <c r="DF29" s="362" t="s">
        <v>289</v>
      </c>
      <c r="DG29" s="362">
        <v>3.8</v>
      </c>
      <c r="DH29" s="362">
        <v>1</v>
      </c>
      <c r="DI29" s="362">
        <v>4600</v>
      </c>
      <c r="DJ29" s="362" t="s">
        <v>324</v>
      </c>
      <c r="DK29" s="362" t="s">
        <v>325</v>
      </c>
      <c r="DL29" s="362" t="s">
        <v>326</v>
      </c>
      <c r="DM29" s="362">
        <v>8.36</v>
      </c>
      <c r="DN29" s="362">
        <v>7.98</v>
      </c>
      <c r="DO29" s="362">
        <v>1457.5</v>
      </c>
      <c r="DP29" s="362">
        <v>19.55</v>
      </c>
      <c r="DQ29" s="362">
        <v>1.98</v>
      </c>
    </row>
    <row r="30" spans="1:121" hidden="1" x14ac:dyDescent="0.25">
      <c r="A30" s="362" t="s">
        <v>111</v>
      </c>
      <c r="B30" s="56" t="str">
        <f>VLOOKUP(Table3[[#This Row],[Station]], StationName, 2, FALSE)</f>
        <v>L01-340-1</v>
      </c>
      <c r="C30" s="362">
        <v>1724007</v>
      </c>
      <c r="D30" s="221">
        <v>44342.384027777778</v>
      </c>
      <c r="E30" s="362" t="s">
        <v>293</v>
      </c>
      <c r="F30" s="362" t="s">
        <v>294</v>
      </c>
      <c r="G30" s="362" t="s">
        <v>294</v>
      </c>
      <c r="H30" s="362" t="s">
        <v>294</v>
      </c>
      <c r="I30" s="362" t="s">
        <v>294</v>
      </c>
      <c r="J30" s="362" t="s">
        <v>294</v>
      </c>
      <c r="K30" s="362" t="s">
        <v>294</v>
      </c>
      <c r="L30" s="362" t="s">
        <v>294</v>
      </c>
      <c r="M30" s="362" t="s">
        <v>294</v>
      </c>
      <c r="N30" s="362" t="s">
        <v>294</v>
      </c>
      <c r="O30" s="362" t="s">
        <v>294</v>
      </c>
      <c r="P30" s="362" t="s">
        <v>294</v>
      </c>
      <c r="Q30" s="362" t="s">
        <v>294</v>
      </c>
      <c r="R30" s="362" t="s">
        <v>294</v>
      </c>
      <c r="S30" s="362" t="s">
        <v>294</v>
      </c>
      <c r="T30" s="362" t="s">
        <v>294</v>
      </c>
      <c r="U30" s="362" t="s">
        <v>294</v>
      </c>
      <c r="V30" s="362" t="s">
        <v>294</v>
      </c>
      <c r="W30" s="362" t="s">
        <v>294</v>
      </c>
      <c r="X30" s="362" t="s">
        <v>294</v>
      </c>
      <c r="Y30" s="362" t="s">
        <v>294</v>
      </c>
      <c r="Z30" s="362" t="s">
        <v>294</v>
      </c>
      <c r="AA30" s="362" t="s">
        <v>294</v>
      </c>
      <c r="AB30" s="362" t="s">
        <v>294</v>
      </c>
      <c r="AC30" s="362" t="s">
        <v>294</v>
      </c>
      <c r="AD30" s="362" t="s">
        <v>294</v>
      </c>
      <c r="AE30" s="362" t="s">
        <v>294</v>
      </c>
      <c r="AF30" s="362" t="s">
        <v>294</v>
      </c>
      <c r="AG30" s="362" t="s">
        <v>294</v>
      </c>
      <c r="AH30" s="362" t="s">
        <v>294</v>
      </c>
      <c r="AI30" s="362" t="s">
        <v>294</v>
      </c>
      <c r="AJ30" s="362" t="s">
        <v>294</v>
      </c>
      <c r="AK30" s="362" t="s">
        <v>294</v>
      </c>
      <c r="AL30" s="362" t="s">
        <v>294</v>
      </c>
      <c r="AM30" s="362" t="s">
        <v>294</v>
      </c>
      <c r="AN30" s="362" t="s">
        <v>294</v>
      </c>
      <c r="AO30" s="362" t="s">
        <v>294</v>
      </c>
      <c r="AP30" s="362" t="s">
        <v>294</v>
      </c>
      <c r="AQ30" s="362" t="s">
        <v>294</v>
      </c>
      <c r="AR30" s="362" t="s">
        <v>294</v>
      </c>
      <c r="AS30" s="362" t="s">
        <v>294</v>
      </c>
      <c r="AT30" s="362" t="s">
        <v>294</v>
      </c>
      <c r="AU30" s="362" t="s">
        <v>294</v>
      </c>
      <c r="AV30" s="362" t="s">
        <v>294</v>
      </c>
      <c r="AW30" s="362" t="s">
        <v>294</v>
      </c>
      <c r="AX30" s="362" t="s">
        <v>294</v>
      </c>
      <c r="AY30" s="362" t="s">
        <v>294</v>
      </c>
      <c r="AZ30" s="362" t="s">
        <v>294</v>
      </c>
      <c r="BA30" s="362" t="s">
        <v>294</v>
      </c>
      <c r="BB30" s="362" t="s">
        <v>294</v>
      </c>
      <c r="BC30" s="362" t="s">
        <v>294</v>
      </c>
      <c r="BD30" s="362" t="s">
        <v>294</v>
      </c>
      <c r="BE30" s="362" t="s">
        <v>294</v>
      </c>
      <c r="BF30" s="362" t="s">
        <v>294</v>
      </c>
      <c r="BG30" s="362" t="s">
        <v>294</v>
      </c>
      <c r="BH30" s="362" t="s">
        <v>294</v>
      </c>
      <c r="BI30" s="362" t="s">
        <v>294</v>
      </c>
      <c r="BJ30" s="362" t="s">
        <v>294</v>
      </c>
      <c r="BK30" s="362" t="s">
        <v>294</v>
      </c>
      <c r="BL30" s="362" t="s">
        <v>294</v>
      </c>
      <c r="BM30" s="362" t="s">
        <v>294</v>
      </c>
      <c r="BN30" s="362" t="s">
        <v>294</v>
      </c>
      <c r="BO30" s="362" t="s">
        <v>294</v>
      </c>
      <c r="BP30" s="362" t="s">
        <v>294</v>
      </c>
      <c r="BQ30" s="362" t="s">
        <v>294</v>
      </c>
      <c r="BR30" s="362" t="s">
        <v>294</v>
      </c>
      <c r="BS30" s="362" t="s">
        <v>294</v>
      </c>
      <c r="BT30" s="362" t="s">
        <v>294</v>
      </c>
      <c r="BU30" s="362" t="s">
        <v>294</v>
      </c>
      <c r="BV30" s="362" t="s">
        <v>294</v>
      </c>
      <c r="BW30" s="362" t="s">
        <v>294</v>
      </c>
      <c r="BX30" s="362" t="s">
        <v>294</v>
      </c>
      <c r="BY30" s="362" t="s">
        <v>294</v>
      </c>
      <c r="BZ30" s="362" t="s">
        <v>294</v>
      </c>
      <c r="CA30" s="362">
        <v>3.1</v>
      </c>
      <c r="CB30" s="362" t="s">
        <v>254</v>
      </c>
      <c r="CC30" s="362" t="s">
        <v>294</v>
      </c>
      <c r="CD30" s="362">
        <v>0.14000000000000001</v>
      </c>
      <c r="CE30" s="362">
        <v>0.24</v>
      </c>
      <c r="CF30" s="362">
        <v>4.3</v>
      </c>
      <c r="CG30" s="362" t="s">
        <v>294</v>
      </c>
      <c r="CH30" s="362" t="s">
        <v>294</v>
      </c>
      <c r="CI30" s="362" t="s">
        <v>286</v>
      </c>
      <c r="CJ30" s="362" t="s">
        <v>254</v>
      </c>
      <c r="CK30" s="362" t="s">
        <v>294</v>
      </c>
      <c r="CL30" s="362">
        <v>7.5</v>
      </c>
      <c r="CM30" s="362" t="s">
        <v>294</v>
      </c>
      <c r="CN30" s="362" t="s">
        <v>288</v>
      </c>
      <c r="CO30" s="362" t="s">
        <v>259</v>
      </c>
      <c r="CP30" s="362">
        <v>1.4</v>
      </c>
      <c r="CQ30" s="362" t="s">
        <v>254</v>
      </c>
      <c r="CR30" s="362" t="s">
        <v>254</v>
      </c>
      <c r="CS30" s="362" t="s">
        <v>294</v>
      </c>
      <c r="CT30" s="362" t="s">
        <v>284</v>
      </c>
      <c r="CU30" s="362" t="s">
        <v>294</v>
      </c>
      <c r="CV30" s="362" t="s">
        <v>294</v>
      </c>
      <c r="CW30" s="362" t="s">
        <v>294</v>
      </c>
      <c r="CX30" s="362" t="s">
        <v>294</v>
      </c>
      <c r="CY30" s="362" t="s">
        <v>294</v>
      </c>
      <c r="CZ30" s="362" t="s">
        <v>294</v>
      </c>
      <c r="DA30" s="362" t="s">
        <v>294</v>
      </c>
      <c r="DB30" s="362" t="s">
        <v>294</v>
      </c>
      <c r="DC30" s="362" t="s">
        <v>294</v>
      </c>
      <c r="DD30" s="362" t="s">
        <v>294</v>
      </c>
      <c r="DE30" s="362" t="s">
        <v>294</v>
      </c>
      <c r="DF30" s="362" t="s">
        <v>294</v>
      </c>
      <c r="DG30" s="362" t="s">
        <v>294</v>
      </c>
      <c r="DH30" s="362" t="s">
        <v>294</v>
      </c>
      <c r="DI30" s="362" t="s">
        <v>294</v>
      </c>
      <c r="DJ30" s="362" t="s">
        <v>294</v>
      </c>
      <c r="DK30" s="362" t="s">
        <v>294</v>
      </c>
      <c r="DL30" s="362" t="s">
        <v>294</v>
      </c>
      <c r="DM30" s="362" t="s">
        <v>294</v>
      </c>
      <c r="DN30" s="362" t="s">
        <v>294</v>
      </c>
      <c r="DO30" s="362" t="s">
        <v>294</v>
      </c>
      <c r="DP30" s="362" t="s">
        <v>294</v>
      </c>
      <c r="DQ30" s="362" t="s">
        <v>294</v>
      </c>
    </row>
    <row r="31" spans="1:121" x14ac:dyDescent="0.25">
      <c r="A31" s="362" t="s">
        <v>327</v>
      </c>
      <c r="B31" s="56" t="str">
        <f>VLOOKUP(Table3[[#This Row],[Station]], StationName, 2, FALSE)</f>
        <v>J06-9362-1 (J06-03)</v>
      </c>
      <c r="C31" s="362">
        <v>1719001</v>
      </c>
      <c r="D31" s="221">
        <v>44342.386111111111</v>
      </c>
      <c r="E31" s="362" t="s">
        <v>283</v>
      </c>
      <c r="F31" s="362">
        <v>81</v>
      </c>
      <c r="G31" s="362">
        <v>92</v>
      </c>
      <c r="H31" s="362">
        <v>108</v>
      </c>
      <c r="I31" s="362">
        <v>95</v>
      </c>
      <c r="J31" s="362">
        <v>74</v>
      </c>
      <c r="K31" s="362">
        <v>65</v>
      </c>
      <c r="L31" s="362">
        <v>80</v>
      </c>
      <c r="M31" s="362">
        <v>77</v>
      </c>
      <c r="N31" s="362">
        <v>58</v>
      </c>
      <c r="O31" s="362" t="s">
        <v>259</v>
      </c>
      <c r="P31" s="362" t="s">
        <v>259</v>
      </c>
      <c r="Q31" s="362" t="s">
        <v>259</v>
      </c>
      <c r="R31" s="362" t="s">
        <v>259</v>
      </c>
      <c r="S31" s="362" t="s">
        <v>259</v>
      </c>
      <c r="T31" s="362" t="s">
        <v>259</v>
      </c>
      <c r="U31" s="362" t="s">
        <v>256</v>
      </c>
      <c r="V31" s="362" t="s">
        <v>256</v>
      </c>
      <c r="W31" s="362" t="s">
        <v>256</v>
      </c>
      <c r="X31" s="362" t="s">
        <v>256</v>
      </c>
      <c r="Y31" s="362" t="s">
        <v>284</v>
      </c>
      <c r="Z31" s="362" t="s">
        <v>256</v>
      </c>
      <c r="AA31" s="362" t="s">
        <v>256</v>
      </c>
      <c r="AB31" s="362" t="s">
        <v>256</v>
      </c>
      <c r="AC31" s="362" t="s">
        <v>256</v>
      </c>
      <c r="AD31" s="362" t="s">
        <v>256</v>
      </c>
      <c r="AE31" s="362" t="s">
        <v>256</v>
      </c>
      <c r="AF31" s="362" t="s">
        <v>256</v>
      </c>
      <c r="AG31" s="362" t="s">
        <v>256</v>
      </c>
      <c r="AH31" s="362" t="s">
        <v>256</v>
      </c>
      <c r="AI31" s="362" t="s">
        <v>256</v>
      </c>
      <c r="AJ31" s="362" t="s">
        <v>248</v>
      </c>
      <c r="AK31" s="362" t="s">
        <v>259</v>
      </c>
      <c r="AL31" s="362" t="s">
        <v>259</v>
      </c>
      <c r="AM31" s="362" t="s">
        <v>251</v>
      </c>
      <c r="AN31" s="362" t="s">
        <v>256</v>
      </c>
      <c r="AO31" s="362" t="s">
        <v>259</v>
      </c>
      <c r="AP31" s="362" t="s">
        <v>251</v>
      </c>
      <c r="AQ31" s="362" t="s">
        <v>256</v>
      </c>
      <c r="AR31" s="362" t="s">
        <v>256</v>
      </c>
      <c r="AS31" s="362" t="s">
        <v>285</v>
      </c>
      <c r="AT31" s="362" t="s">
        <v>259</v>
      </c>
      <c r="AU31" s="362" t="s">
        <v>284</v>
      </c>
      <c r="AV31" s="362" t="s">
        <v>259</v>
      </c>
      <c r="AW31" s="362" t="s">
        <v>256</v>
      </c>
      <c r="AX31" s="362" t="s">
        <v>256</v>
      </c>
      <c r="AY31" s="362" t="s">
        <v>256</v>
      </c>
      <c r="AZ31" s="362" t="s">
        <v>256</v>
      </c>
      <c r="BA31" s="362" t="s">
        <v>256</v>
      </c>
      <c r="BB31" s="362" t="s">
        <v>259</v>
      </c>
      <c r="BC31" s="362" t="s">
        <v>286</v>
      </c>
      <c r="BD31" s="362" t="s">
        <v>248</v>
      </c>
      <c r="BE31" s="362" t="s">
        <v>259</v>
      </c>
      <c r="BF31" s="362" t="s">
        <v>248</v>
      </c>
      <c r="BG31" s="362">
        <v>1.49</v>
      </c>
      <c r="BH31" s="362" t="s">
        <v>256</v>
      </c>
      <c r="BI31" s="362" t="s">
        <v>256</v>
      </c>
      <c r="BJ31" s="362" t="s">
        <v>256</v>
      </c>
      <c r="BK31" s="362" t="s">
        <v>256</v>
      </c>
      <c r="BL31" s="362" t="s">
        <v>256</v>
      </c>
      <c r="BM31" s="362" t="s">
        <v>259</v>
      </c>
      <c r="BN31" s="362" t="s">
        <v>256</v>
      </c>
      <c r="BO31" s="362" t="s">
        <v>259</v>
      </c>
      <c r="BP31" s="362" t="s">
        <v>284</v>
      </c>
      <c r="BQ31" s="362" t="s">
        <v>256</v>
      </c>
      <c r="BR31" s="362" t="s">
        <v>256</v>
      </c>
      <c r="BS31" s="362">
        <v>1.06</v>
      </c>
      <c r="BT31" s="362" t="s">
        <v>284</v>
      </c>
      <c r="BU31" s="362">
        <v>2.67</v>
      </c>
      <c r="BV31" s="362" t="s">
        <v>248</v>
      </c>
      <c r="BW31" s="362" t="s">
        <v>285</v>
      </c>
      <c r="BX31" s="362" t="s">
        <v>287</v>
      </c>
      <c r="BY31" s="362" t="s">
        <v>259</v>
      </c>
      <c r="BZ31" s="362" t="s">
        <v>259</v>
      </c>
      <c r="CA31" s="362">
        <v>6</v>
      </c>
      <c r="CB31" s="362">
        <v>0.28000000000000003</v>
      </c>
      <c r="CC31" s="362">
        <v>221</v>
      </c>
      <c r="CD31" s="362">
        <v>0.24</v>
      </c>
      <c r="CE31" s="362">
        <v>0.45</v>
      </c>
      <c r="CF31" s="362">
        <v>3</v>
      </c>
      <c r="CG31" s="362">
        <v>2.2999999999999998</v>
      </c>
      <c r="CH31" s="362">
        <v>851</v>
      </c>
      <c r="CI31" s="362">
        <v>88</v>
      </c>
      <c r="CJ31" s="362" t="s">
        <v>254</v>
      </c>
      <c r="CK31" s="362">
        <v>72.8</v>
      </c>
      <c r="CL31" s="362">
        <v>130</v>
      </c>
      <c r="CM31" s="362" t="s">
        <v>288</v>
      </c>
      <c r="CN31" s="362" t="s">
        <v>288</v>
      </c>
      <c r="CO31" s="362">
        <v>3.7</v>
      </c>
      <c r="CP31" s="362">
        <v>7.5</v>
      </c>
      <c r="CQ31" s="362" t="s">
        <v>254</v>
      </c>
      <c r="CR31" s="362" t="s">
        <v>254</v>
      </c>
      <c r="CS31" s="362">
        <v>3.8</v>
      </c>
      <c r="CT31" s="362" t="s">
        <v>284</v>
      </c>
      <c r="CU31" s="362">
        <v>0.21</v>
      </c>
      <c r="CV31" s="362">
        <v>350</v>
      </c>
      <c r="CW31" s="362">
        <v>2.1</v>
      </c>
      <c r="CX31" s="362">
        <v>0.64</v>
      </c>
      <c r="CY31" s="362">
        <v>0.09</v>
      </c>
      <c r="CZ31" s="362">
        <v>8.06</v>
      </c>
      <c r="DA31" s="362">
        <v>0.47</v>
      </c>
      <c r="DB31" s="362">
        <v>3200</v>
      </c>
      <c r="DC31" s="362">
        <v>660</v>
      </c>
      <c r="DD31" s="362">
        <v>22.6</v>
      </c>
      <c r="DE31" s="362">
        <v>1900</v>
      </c>
      <c r="DF31" s="362" t="s">
        <v>289</v>
      </c>
      <c r="DG31" s="362">
        <v>6.9</v>
      </c>
      <c r="DH31" s="362">
        <v>1.4</v>
      </c>
      <c r="DI31" s="362">
        <v>1120</v>
      </c>
      <c r="DJ31" s="362">
        <v>240</v>
      </c>
      <c r="DK31" s="362">
        <v>310</v>
      </c>
      <c r="DL31" s="362" t="s">
        <v>328</v>
      </c>
      <c r="DM31" s="362">
        <v>6.76</v>
      </c>
      <c r="DN31" s="362">
        <v>7.75</v>
      </c>
      <c r="DO31" s="362">
        <v>2724</v>
      </c>
      <c r="DP31" s="362">
        <v>17.72</v>
      </c>
      <c r="DQ31" s="362">
        <v>0.16</v>
      </c>
    </row>
    <row r="32" spans="1:121" hidden="1" x14ac:dyDescent="0.25">
      <c r="A32" s="362" t="s">
        <v>327</v>
      </c>
      <c r="B32" s="56" t="str">
        <f>VLOOKUP(Table3[[#This Row],[Station]], StationName, 2, FALSE)</f>
        <v>J06-9362-1 (J06-03)</v>
      </c>
      <c r="C32" s="362">
        <v>1719004</v>
      </c>
      <c r="D32" s="221">
        <v>44342.386111111111</v>
      </c>
      <c r="E32" s="362" t="s">
        <v>293</v>
      </c>
      <c r="F32" s="362" t="s">
        <v>294</v>
      </c>
      <c r="G32" s="362" t="s">
        <v>294</v>
      </c>
      <c r="H32" s="362" t="s">
        <v>294</v>
      </c>
      <c r="I32" s="362" t="s">
        <v>294</v>
      </c>
      <c r="J32" s="362" t="s">
        <v>294</v>
      </c>
      <c r="K32" s="362" t="s">
        <v>294</v>
      </c>
      <c r="L32" s="362" t="s">
        <v>294</v>
      </c>
      <c r="M32" s="362" t="s">
        <v>294</v>
      </c>
      <c r="N32" s="362" t="s">
        <v>294</v>
      </c>
      <c r="O32" s="362" t="s">
        <v>294</v>
      </c>
      <c r="P32" s="362" t="s">
        <v>294</v>
      </c>
      <c r="Q32" s="362" t="s">
        <v>294</v>
      </c>
      <c r="R32" s="362" t="s">
        <v>294</v>
      </c>
      <c r="S32" s="362" t="s">
        <v>294</v>
      </c>
      <c r="T32" s="362" t="s">
        <v>294</v>
      </c>
      <c r="U32" s="362" t="s">
        <v>294</v>
      </c>
      <c r="V32" s="362" t="s">
        <v>294</v>
      </c>
      <c r="W32" s="362" t="s">
        <v>294</v>
      </c>
      <c r="X32" s="362" t="s">
        <v>294</v>
      </c>
      <c r="Y32" s="362" t="s">
        <v>294</v>
      </c>
      <c r="Z32" s="362" t="s">
        <v>294</v>
      </c>
      <c r="AA32" s="362" t="s">
        <v>294</v>
      </c>
      <c r="AB32" s="362" t="s">
        <v>294</v>
      </c>
      <c r="AC32" s="362" t="s">
        <v>294</v>
      </c>
      <c r="AD32" s="362" t="s">
        <v>294</v>
      </c>
      <c r="AE32" s="362" t="s">
        <v>294</v>
      </c>
      <c r="AF32" s="362" t="s">
        <v>294</v>
      </c>
      <c r="AG32" s="362" t="s">
        <v>294</v>
      </c>
      <c r="AH32" s="362" t="s">
        <v>294</v>
      </c>
      <c r="AI32" s="362" t="s">
        <v>294</v>
      </c>
      <c r="AJ32" s="362" t="s">
        <v>294</v>
      </c>
      <c r="AK32" s="362" t="s">
        <v>294</v>
      </c>
      <c r="AL32" s="362" t="s">
        <v>294</v>
      </c>
      <c r="AM32" s="362" t="s">
        <v>294</v>
      </c>
      <c r="AN32" s="362" t="s">
        <v>294</v>
      </c>
      <c r="AO32" s="362" t="s">
        <v>294</v>
      </c>
      <c r="AP32" s="362" t="s">
        <v>294</v>
      </c>
      <c r="AQ32" s="362" t="s">
        <v>294</v>
      </c>
      <c r="AR32" s="362" t="s">
        <v>294</v>
      </c>
      <c r="AS32" s="362" t="s">
        <v>294</v>
      </c>
      <c r="AT32" s="362" t="s">
        <v>294</v>
      </c>
      <c r="AU32" s="362" t="s">
        <v>294</v>
      </c>
      <c r="AV32" s="362" t="s">
        <v>294</v>
      </c>
      <c r="AW32" s="362" t="s">
        <v>294</v>
      </c>
      <c r="AX32" s="362" t="s">
        <v>294</v>
      </c>
      <c r="AY32" s="362" t="s">
        <v>294</v>
      </c>
      <c r="AZ32" s="362" t="s">
        <v>294</v>
      </c>
      <c r="BA32" s="362" t="s">
        <v>294</v>
      </c>
      <c r="BB32" s="362" t="s">
        <v>294</v>
      </c>
      <c r="BC32" s="362" t="s">
        <v>294</v>
      </c>
      <c r="BD32" s="362" t="s">
        <v>294</v>
      </c>
      <c r="BE32" s="362" t="s">
        <v>294</v>
      </c>
      <c r="BF32" s="362" t="s">
        <v>294</v>
      </c>
      <c r="BG32" s="362" t="s">
        <v>294</v>
      </c>
      <c r="BH32" s="362" t="s">
        <v>294</v>
      </c>
      <c r="BI32" s="362" t="s">
        <v>294</v>
      </c>
      <c r="BJ32" s="362" t="s">
        <v>294</v>
      </c>
      <c r="BK32" s="362" t="s">
        <v>294</v>
      </c>
      <c r="BL32" s="362" t="s">
        <v>294</v>
      </c>
      <c r="BM32" s="362" t="s">
        <v>294</v>
      </c>
      <c r="BN32" s="362" t="s">
        <v>294</v>
      </c>
      <c r="BO32" s="362" t="s">
        <v>294</v>
      </c>
      <c r="BP32" s="362" t="s">
        <v>294</v>
      </c>
      <c r="BQ32" s="362" t="s">
        <v>294</v>
      </c>
      <c r="BR32" s="362" t="s">
        <v>294</v>
      </c>
      <c r="BS32" s="362" t="s">
        <v>294</v>
      </c>
      <c r="BT32" s="362" t="s">
        <v>294</v>
      </c>
      <c r="BU32" s="362" t="s">
        <v>294</v>
      </c>
      <c r="BV32" s="362" t="s">
        <v>294</v>
      </c>
      <c r="BW32" s="362" t="s">
        <v>294</v>
      </c>
      <c r="BX32" s="362" t="s">
        <v>294</v>
      </c>
      <c r="BY32" s="362" t="s">
        <v>294</v>
      </c>
      <c r="BZ32" s="362" t="s">
        <v>294</v>
      </c>
      <c r="CA32" s="362">
        <v>6.2</v>
      </c>
      <c r="CB32" s="362">
        <v>0.21</v>
      </c>
      <c r="CC32" s="362">
        <v>225</v>
      </c>
      <c r="CD32" s="362">
        <v>0.22</v>
      </c>
      <c r="CE32" s="362">
        <v>0.35</v>
      </c>
      <c r="CF32" s="362">
        <v>2.2000000000000002</v>
      </c>
      <c r="CG32" s="362" t="s">
        <v>294</v>
      </c>
      <c r="CH32" s="362">
        <v>868</v>
      </c>
      <c r="CI32" s="362" t="s">
        <v>286</v>
      </c>
      <c r="CJ32" s="362" t="s">
        <v>254</v>
      </c>
      <c r="CK32" s="362">
        <v>74.3</v>
      </c>
      <c r="CL32" s="362">
        <v>100</v>
      </c>
      <c r="CM32" s="362" t="s">
        <v>294</v>
      </c>
      <c r="CN32" s="362" t="s">
        <v>288</v>
      </c>
      <c r="CO32" s="362">
        <v>3.7</v>
      </c>
      <c r="CP32" s="362">
        <v>7.6</v>
      </c>
      <c r="CQ32" s="362" t="s">
        <v>254</v>
      </c>
      <c r="CR32" s="362" t="s">
        <v>254</v>
      </c>
      <c r="CS32" s="362" t="s">
        <v>294</v>
      </c>
      <c r="CT32" s="362" t="s">
        <v>284</v>
      </c>
      <c r="CU32" s="362" t="s">
        <v>294</v>
      </c>
      <c r="CV32" s="362" t="s">
        <v>294</v>
      </c>
      <c r="CW32" s="362" t="s">
        <v>294</v>
      </c>
      <c r="CX32" s="362" t="s">
        <v>294</v>
      </c>
      <c r="CY32" s="362" t="s">
        <v>294</v>
      </c>
      <c r="CZ32" s="362" t="s">
        <v>294</v>
      </c>
      <c r="DA32" s="362" t="s">
        <v>294</v>
      </c>
      <c r="DB32" s="362" t="s">
        <v>294</v>
      </c>
      <c r="DC32" s="362" t="s">
        <v>294</v>
      </c>
      <c r="DD32" s="362" t="s">
        <v>294</v>
      </c>
      <c r="DE32" s="362" t="s">
        <v>294</v>
      </c>
      <c r="DF32" s="362" t="s">
        <v>294</v>
      </c>
      <c r="DG32" s="362" t="s">
        <v>294</v>
      </c>
      <c r="DH32" s="362" t="s">
        <v>294</v>
      </c>
      <c r="DI32" s="362" t="s">
        <v>294</v>
      </c>
      <c r="DJ32" s="362" t="s">
        <v>294</v>
      </c>
      <c r="DK32" s="362" t="s">
        <v>294</v>
      </c>
      <c r="DL32" s="362" t="s">
        <v>294</v>
      </c>
      <c r="DM32" s="362" t="s">
        <v>294</v>
      </c>
      <c r="DN32" s="362" t="s">
        <v>294</v>
      </c>
      <c r="DO32" s="362" t="s">
        <v>294</v>
      </c>
      <c r="DP32" s="362" t="s">
        <v>294</v>
      </c>
      <c r="DQ32" s="362" t="s">
        <v>294</v>
      </c>
    </row>
    <row r="33" spans="1:121" x14ac:dyDescent="0.25">
      <c r="A33" s="362" t="s">
        <v>108</v>
      </c>
      <c r="B33" s="56" t="str">
        <f>VLOOKUP(Table3[[#This Row],[Station]], StationName, 2, FALSE)</f>
        <v>J01-9082-2</v>
      </c>
      <c r="C33" s="362">
        <v>1720004</v>
      </c>
      <c r="D33" s="221">
        <v>44342.420138888891</v>
      </c>
      <c r="E33" s="362" t="s">
        <v>283</v>
      </c>
      <c r="F33" s="362">
        <v>72</v>
      </c>
      <c r="G33" s="362">
        <v>86</v>
      </c>
      <c r="H33" s="362">
        <v>97</v>
      </c>
      <c r="I33" s="362">
        <v>86</v>
      </c>
      <c r="J33" s="362">
        <v>58</v>
      </c>
      <c r="K33" s="362">
        <v>82</v>
      </c>
      <c r="L33" s="362">
        <v>87</v>
      </c>
      <c r="M33" s="362">
        <v>77</v>
      </c>
      <c r="N33" s="362">
        <v>68</v>
      </c>
      <c r="O33" s="362" t="s">
        <v>259</v>
      </c>
      <c r="P33" s="362" t="s">
        <v>259</v>
      </c>
      <c r="Q33" s="362" t="s">
        <v>259</v>
      </c>
      <c r="R33" s="362" t="s">
        <v>259</v>
      </c>
      <c r="S33" s="362" t="s">
        <v>259</v>
      </c>
      <c r="T33" s="362" t="s">
        <v>259</v>
      </c>
      <c r="U33" s="362" t="s">
        <v>256</v>
      </c>
      <c r="V33" s="362" t="s">
        <v>256</v>
      </c>
      <c r="W33" s="362" t="s">
        <v>256</v>
      </c>
      <c r="X33" s="362" t="s">
        <v>256</v>
      </c>
      <c r="Y33" s="362" t="s">
        <v>284</v>
      </c>
      <c r="Z33" s="362" t="s">
        <v>256</v>
      </c>
      <c r="AA33" s="362" t="s">
        <v>256</v>
      </c>
      <c r="AB33" s="362" t="s">
        <v>256</v>
      </c>
      <c r="AC33" s="362">
        <v>4.75</v>
      </c>
      <c r="AD33" s="362" t="s">
        <v>256</v>
      </c>
      <c r="AE33" s="362" t="s">
        <v>256</v>
      </c>
      <c r="AF33" s="362" t="s">
        <v>256</v>
      </c>
      <c r="AG33" s="362" t="s">
        <v>256</v>
      </c>
      <c r="AH33" s="362" t="s">
        <v>256</v>
      </c>
      <c r="AI33" s="362" t="s">
        <v>256</v>
      </c>
      <c r="AJ33" s="362" t="s">
        <v>248</v>
      </c>
      <c r="AK33" s="362" t="s">
        <v>259</v>
      </c>
      <c r="AL33" s="362" t="s">
        <v>259</v>
      </c>
      <c r="AM33" s="362" t="s">
        <v>251</v>
      </c>
      <c r="AN33" s="362" t="s">
        <v>256</v>
      </c>
      <c r="AO33" s="362" t="s">
        <v>259</v>
      </c>
      <c r="AP33" s="362" t="s">
        <v>251</v>
      </c>
      <c r="AQ33" s="362" t="s">
        <v>256</v>
      </c>
      <c r="AR33" s="362" t="s">
        <v>256</v>
      </c>
      <c r="AS33" s="362" t="s">
        <v>285</v>
      </c>
      <c r="AT33" s="362" t="s">
        <v>259</v>
      </c>
      <c r="AU33" s="362" t="s">
        <v>284</v>
      </c>
      <c r="AV33" s="362" t="s">
        <v>259</v>
      </c>
      <c r="AW33" s="362" t="s">
        <v>256</v>
      </c>
      <c r="AX33" s="362" t="s">
        <v>256</v>
      </c>
      <c r="AY33" s="362" t="s">
        <v>256</v>
      </c>
      <c r="AZ33" s="362" t="s">
        <v>256</v>
      </c>
      <c r="BA33" s="362" t="s">
        <v>256</v>
      </c>
      <c r="BB33" s="362" t="s">
        <v>259</v>
      </c>
      <c r="BC33" s="362" t="s">
        <v>286</v>
      </c>
      <c r="BD33" s="362" t="s">
        <v>248</v>
      </c>
      <c r="BE33" s="362" t="s">
        <v>259</v>
      </c>
      <c r="BF33" s="362" t="s">
        <v>248</v>
      </c>
      <c r="BG33" s="362" t="s">
        <v>256</v>
      </c>
      <c r="BH33" s="362" t="s">
        <v>256</v>
      </c>
      <c r="BI33" s="362" t="s">
        <v>256</v>
      </c>
      <c r="BJ33" s="362" t="s">
        <v>256</v>
      </c>
      <c r="BK33" s="362" t="s">
        <v>256</v>
      </c>
      <c r="BL33" s="362" t="s">
        <v>256</v>
      </c>
      <c r="BM33" s="362" t="s">
        <v>259</v>
      </c>
      <c r="BN33" s="362" t="s">
        <v>256</v>
      </c>
      <c r="BO33" s="362" t="s">
        <v>259</v>
      </c>
      <c r="BP33" s="362" t="s">
        <v>284</v>
      </c>
      <c r="BQ33" s="362" t="s">
        <v>256</v>
      </c>
      <c r="BR33" s="362" t="s">
        <v>256</v>
      </c>
      <c r="BS33" s="362" t="s">
        <v>256</v>
      </c>
      <c r="BT33" s="362" t="s">
        <v>284</v>
      </c>
      <c r="BU33" s="362" t="s">
        <v>256</v>
      </c>
      <c r="BV33" s="362" t="s">
        <v>248</v>
      </c>
      <c r="BW33" s="362" t="s">
        <v>285</v>
      </c>
      <c r="BX33" s="362" t="s">
        <v>287</v>
      </c>
      <c r="BY33" s="362" t="s">
        <v>259</v>
      </c>
      <c r="BZ33" s="362" t="s">
        <v>259</v>
      </c>
      <c r="CA33" s="362">
        <v>0.97</v>
      </c>
      <c r="CB33" s="362" t="s">
        <v>254</v>
      </c>
      <c r="CC33" s="362">
        <v>101</v>
      </c>
      <c r="CD33" s="362">
        <v>0.52</v>
      </c>
      <c r="CE33" s="362">
        <v>0.66</v>
      </c>
      <c r="CF33" s="362">
        <v>2.2000000000000002</v>
      </c>
      <c r="CG33" s="362">
        <v>4.8</v>
      </c>
      <c r="CH33" s="362">
        <v>383</v>
      </c>
      <c r="CI33" s="362" t="s">
        <v>286</v>
      </c>
      <c r="CJ33" s="362" t="s">
        <v>254</v>
      </c>
      <c r="CK33" s="362">
        <v>31.7</v>
      </c>
      <c r="CL33" s="362">
        <v>14</v>
      </c>
      <c r="CM33" s="362" t="s">
        <v>288</v>
      </c>
      <c r="CN33" s="362" t="s">
        <v>288</v>
      </c>
      <c r="CO33" s="362">
        <v>2</v>
      </c>
      <c r="CP33" s="362">
        <v>4.2</v>
      </c>
      <c r="CQ33" s="362" t="s">
        <v>254</v>
      </c>
      <c r="CR33" s="362" t="s">
        <v>254</v>
      </c>
      <c r="CS33" s="362">
        <v>5.0999999999999996</v>
      </c>
      <c r="CT33" s="362" t="s">
        <v>284</v>
      </c>
      <c r="CU33" s="362" t="s">
        <v>153</v>
      </c>
      <c r="CV33" s="362">
        <v>170</v>
      </c>
      <c r="CW33" s="362">
        <v>1.9</v>
      </c>
      <c r="CX33" s="362">
        <v>0.64</v>
      </c>
      <c r="CY33" s="362">
        <v>0.19</v>
      </c>
      <c r="CZ33" s="362">
        <v>7.98</v>
      </c>
      <c r="DA33" s="362">
        <v>0.96</v>
      </c>
      <c r="DB33" s="362">
        <v>1600</v>
      </c>
      <c r="DC33" s="362">
        <v>230</v>
      </c>
      <c r="DD33" s="362">
        <v>22.7</v>
      </c>
      <c r="DE33" s="362">
        <v>790</v>
      </c>
      <c r="DF33" s="362" t="s">
        <v>289</v>
      </c>
      <c r="DG33" s="362">
        <v>4.5999999999999996</v>
      </c>
      <c r="DH33" s="362">
        <v>0.3</v>
      </c>
      <c r="DI33" s="362">
        <v>160</v>
      </c>
      <c r="DJ33" s="362">
        <v>60</v>
      </c>
      <c r="DK33" s="362">
        <v>80</v>
      </c>
      <c r="DL33" s="362" t="s">
        <v>329</v>
      </c>
      <c r="DM33" s="362">
        <v>4.5599999999999996</v>
      </c>
      <c r="DN33" s="362">
        <v>7.73</v>
      </c>
      <c r="DO33" s="362">
        <v>1764</v>
      </c>
      <c r="DP33" s="362">
        <v>20.8</v>
      </c>
      <c r="DQ33" s="362">
        <v>11.6</v>
      </c>
    </row>
    <row r="34" spans="1:121" hidden="1" x14ac:dyDescent="0.25">
      <c r="A34" s="362" t="s">
        <v>108</v>
      </c>
      <c r="B34" s="56" t="str">
        <f>VLOOKUP(Table3[[#This Row],[Station]], StationName, 2, FALSE)</f>
        <v>J01-9082-2</v>
      </c>
      <c r="C34" s="362">
        <v>1720008</v>
      </c>
      <c r="D34" s="221">
        <v>44342.420138888891</v>
      </c>
      <c r="E34" s="362" t="s">
        <v>293</v>
      </c>
      <c r="F34" s="362" t="s">
        <v>294</v>
      </c>
      <c r="G34" s="362" t="s">
        <v>294</v>
      </c>
      <c r="H34" s="362" t="s">
        <v>294</v>
      </c>
      <c r="I34" s="362" t="s">
        <v>294</v>
      </c>
      <c r="J34" s="362" t="s">
        <v>294</v>
      </c>
      <c r="K34" s="362" t="s">
        <v>294</v>
      </c>
      <c r="L34" s="362" t="s">
        <v>294</v>
      </c>
      <c r="M34" s="362" t="s">
        <v>294</v>
      </c>
      <c r="N34" s="362" t="s">
        <v>294</v>
      </c>
      <c r="O34" s="362" t="s">
        <v>294</v>
      </c>
      <c r="P34" s="362" t="s">
        <v>294</v>
      </c>
      <c r="Q34" s="362" t="s">
        <v>294</v>
      </c>
      <c r="R34" s="362" t="s">
        <v>294</v>
      </c>
      <c r="S34" s="362" t="s">
        <v>294</v>
      </c>
      <c r="T34" s="362" t="s">
        <v>294</v>
      </c>
      <c r="U34" s="362" t="s">
        <v>294</v>
      </c>
      <c r="V34" s="362" t="s">
        <v>294</v>
      </c>
      <c r="W34" s="362" t="s">
        <v>294</v>
      </c>
      <c r="X34" s="362" t="s">
        <v>294</v>
      </c>
      <c r="Y34" s="362" t="s">
        <v>294</v>
      </c>
      <c r="Z34" s="362" t="s">
        <v>294</v>
      </c>
      <c r="AA34" s="362" t="s">
        <v>294</v>
      </c>
      <c r="AB34" s="362" t="s">
        <v>294</v>
      </c>
      <c r="AC34" s="362" t="s">
        <v>294</v>
      </c>
      <c r="AD34" s="362" t="s">
        <v>294</v>
      </c>
      <c r="AE34" s="362" t="s">
        <v>294</v>
      </c>
      <c r="AF34" s="362" t="s">
        <v>294</v>
      </c>
      <c r="AG34" s="362" t="s">
        <v>294</v>
      </c>
      <c r="AH34" s="362" t="s">
        <v>294</v>
      </c>
      <c r="AI34" s="362" t="s">
        <v>294</v>
      </c>
      <c r="AJ34" s="362" t="s">
        <v>294</v>
      </c>
      <c r="AK34" s="362" t="s">
        <v>294</v>
      </c>
      <c r="AL34" s="362" t="s">
        <v>294</v>
      </c>
      <c r="AM34" s="362" t="s">
        <v>294</v>
      </c>
      <c r="AN34" s="362" t="s">
        <v>294</v>
      </c>
      <c r="AO34" s="362" t="s">
        <v>294</v>
      </c>
      <c r="AP34" s="362" t="s">
        <v>294</v>
      </c>
      <c r="AQ34" s="362" t="s">
        <v>294</v>
      </c>
      <c r="AR34" s="362" t="s">
        <v>294</v>
      </c>
      <c r="AS34" s="362" t="s">
        <v>294</v>
      </c>
      <c r="AT34" s="362" t="s">
        <v>294</v>
      </c>
      <c r="AU34" s="362" t="s">
        <v>294</v>
      </c>
      <c r="AV34" s="362" t="s">
        <v>294</v>
      </c>
      <c r="AW34" s="362" t="s">
        <v>294</v>
      </c>
      <c r="AX34" s="362" t="s">
        <v>294</v>
      </c>
      <c r="AY34" s="362" t="s">
        <v>294</v>
      </c>
      <c r="AZ34" s="362" t="s">
        <v>294</v>
      </c>
      <c r="BA34" s="362" t="s">
        <v>294</v>
      </c>
      <c r="BB34" s="362" t="s">
        <v>294</v>
      </c>
      <c r="BC34" s="362" t="s">
        <v>294</v>
      </c>
      <c r="BD34" s="362" t="s">
        <v>294</v>
      </c>
      <c r="BE34" s="362" t="s">
        <v>294</v>
      </c>
      <c r="BF34" s="362" t="s">
        <v>294</v>
      </c>
      <c r="BG34" s="362" t="s">
        <v>294</v>
      </c>
      <c r="BH34" s="362" t="s">
        <v>294</v>
      </c>
      <c r="BI34" s="362" t="s">
        <v>294</v>
      </c>
      <c r="BJ34" s="362" t="s">
        <v>294</v>
      </c>
      <c r="BK34" s="362" t="s">
        <v>294</v>
      </c>
      <c r="BL34" s="362" t="s">
        <v>294</v>
      </c>
      <c r="BM34" s="362" t="s">
        <v>294</v>
      </c>
      <c r="BN34" s="362" t="s">
        <v>294</v>
      </c>
      <c r="BO34" s="362" t="s">
        <v>294</v>
      </c>
      <c r="BP34" s="362" t="s">
        <v>294</v>
      </c>
      <c r="BQ34" s="362" t="s">
        <v>294</v>
      </c>
      <c r="BR34" s="362" t="s">
        <v>294</v>
      </c>
      <c r="BS34" s="362" t="s">
        <v>294</v>
      </c>
      <c r="BT34" s="362" t="s">
        <v>294</v>
      </c>
      <c r="BU34" s="362" t="s">
        <v>294</v>
      </c>
      <c r="BV34" s="362" t="s">
        <v>294</v>
      </c>
      <c r="BW34" s="362" t="s">
        <v>294</v>
      </c>
      <c r="BX34" s="362" t="s">
        <v>294</v>
      </c>
      <c r="BY34" s="362" t="s">
        <v>294</v>
      </c>
      <c r="BZ34" s="362" t="s">
        <v>294</v>
      </c>
      <c r="CA34" s="362">
        <v>0.96</v>
      </c>
      <c r="CB34" s="362" t="s">
        <v>254</v>
      </c>
      <c r="CC34" s="362" t="s">
        <v>294</v>
      </c>
      <c r="CD34" s="362">
        <v>0.49</v>
      </c>
      <c r="CE34" s="362">
        <v>0.6</v>
      </c>
      <c r="CF34" s="362">
        <v>1.8</v>
      </c>
      <c r="CG34" s="362" t="s">
        <v>294</v>
      </c>
      <c r="CH34" s="362" t="s">
        <v>294</v>
      </c>
      <c r="CI34" s="362" t="s">
        <v>286</v>
      </c>
      <c r="CJ34" s="362" t="s">
        <v>254</v>
      </c>
      <c r="CK34" s="362" t="s">
        <v>294</v>
      </c>
      <c r="CL34" s="362">
        <v>12</v>
      </c>
      <c r="CM34" s="362" t="s">
        <v>294</v>
      </c>
      <c r="CN34" s="362" t="s">
        <v>288</v>
      </c>
      <c r="CO34" s="362">
        <v>2</v>
      </c>
      <c r="CP34" s="362">
        <v>4.4000000000000004</v>
      </c>
      <c r="CQ34" s="362" t="s">
        <v>254</v>
      </c>
      <c r="CR34" s="362" t="s">
        <v>254</v>
      </c>
      <c r="CS34" s="362" t="s">
        <v>294</v>
      </c>
      <c r="CT34" s="362" t="s">
        <v>284</v>
      </c>
      <c r="CU34" s="362" t="s">
        <v>294</v>
      </c>
      <c r="CV34" s="362" t="s">
        <v>294</v>
      </c>
      <c r="CW34" s="362" t="s">
        <v>294</v>
      </c>
      <c r="CX34" s="362" t="s">
        <v>294</v>
      </c>
      <c r="CY34" s="362" t="s">
        <v>294</v>
      </c>
      <c r="CZ34" s="362" t="s">
        <v>294</v>
      </c>
      <c r="DA34" s="362" t="s">
        <v>294</v>
      </c>
      <c r="DB34" s="362" t="s">
        <v>294</v>
      </c>
      <c r="DC34" s="362" t="s">
        <v>294</v>
      </c>
      <c r="DD34" s="362" t="s">
        <v>294</v>
      </c>
      <c r="DE34" s="362" t="s">
        <v>294</v>
      </c>
      <c r="DF34" s="362" t="s">
        <v>294</v>
      </c>
      <c r="DG34" s="362" t="s">
        <v>294</v>
      </c>
      <c r="DH34" s="362" t="s">
        <v>294</v>
      </c>
      <c r="DI34" s="362" t="s">
        <v>294</v>
      </c>
      <c r="DJ34" s="362" t="s">
        <v>294</v>
      </c>
      <c r="DK34" s="362" t="s">
        <v>294</v>
      </c>
      <c r="DL34" s="362" t="s">
        <v>294</v>
      </c>
      <c r="DM34" s="362" t="s">
        <v>294</v>
      </c>
      <c r="DN34" s="362" t="s">
        <v>294</v>
      </c>
      <c r="DO34" s="362" t="s">
        <v>294</v>
      </c>
      <c r="DP34" s="362" t="s">
        <v>294</v>
      </c>
      <c r="DQ34" s="362" t="s">
        <v>294</v>
      </c>
    </row>
    <row r="35" spans="1:121" x14ac:dyDescent="0.25">
      <c r="A35" s="362" t="s">
        <v>112</v>
      </c>
      <c r="B35" s="56" t="str">
        <f>VLOOKUP(Table3[[#This Row],[Station]], StationName, 2, FALSE)</f>
        <v>L05-489-3</v>
      </c>
      <c r="C35" s="362">
        <v>1724003</v>
      </c>
      <c r="D35" s="221">
        <v>44342.432638888888</v>
      </c>
      <c r="E35" s="362" t="s">
        <v>283</v>
      </c>
      <c r="F35" s="362">
        <v>68</v>
      </c>
      <c r="G35" s="362">
        <v>79</v>
      </c>
      <c r="H35" s="362">
        <v>108</v>
      </c>
      <c r="I35" s="362">
        <v>80</v>
      </c>
      <c r="J35" s="362">
        <v>57</v>
      </c>
      <c r="K35" s="362">
        <v>76</v>
      </c>
      <c r="L35" s="362">
        <v>83</v>
      </c>
      <c r="M35" s="362">
        <v>74</v>
      </c>
      <c r="N35" s="362">
        <v>75</v>
      </c>
      <c r="O35" s="362" t="s">
        <v>259</v>
      </c>
      <c r="P35" s="362" t="s">
        <v>259</v>
      </c>
      <c r="Q35" s="362" t="s">
        <v>259</v>
      </c>
      <c r="R35" s="362" t="s">
        <v>259</v>
      </c>
      <c r="S35" s="362" t="s">
        <v>259</v>
      </c>
      <c r="T35" s="362" t="s">
        <v>259</v>
      </c>
      <c r="U35" s="362" t="s">
        <v>256</v>
      </c>
      <c r="V35" s="362" t="s">
        <v>256</v>
      </c>
      <c r="W35" s="362" t="s">
        <v>256</v>
      </c>
      <c r="X35" s="362" t="s">
        <v>256</v>
      </c>
      <c r="Y35" s="362" t="s">
        <v>284</v>
      </c>
      <c r="Z35" s="362" t="s">
        <v>256</v>
      </c>
      <c r="AA35" s="362" t="s">
        <v>256</v>
      </c>
      <c r="AB35" s="362" t="s">
        <v>256</v>
      </c>
      <c r="AC35" s="362" t="s">
        <v>256</v>
      </c>
      <c r="AD35" s="362" t="s">
        <v>256</v>
      </c>
      <c r="AE35" s="362" t="s">
        <v>256</v>
      </c>
      <c r="AF35" s="362" t="s">
        <v>256</v>
      </c>
      <c r="AG35" s="362" t="s">
        <v>256</v>
      </c>
      <c r="AH35" s="362" t="s">
        <v>256</v>
      </c>
      <c r="AI35" s="362" t="s">
        <v>256</v>
      </c>
      <c r="AJ35" s="362" t="s">
        <v>248</v>
      </c>
      <c r="AK35" s="362" t="s">
        <v>259</v>
      </c>
      <c r="AL35" s="362" t="s">
        <v>259</v>
      </c>
      <c r="AM35" s="362" t="s">
        <v>251</v>
      </c>
      <c r="AN35" s="362" t="s">
        <v>256</v>
      </c>
      <c r="AO35" s="362" t="s">
        <v>259</v>
      </c>
      <c r="AP35" s="362" t="s">
        <v>251</v>
      </c>
      <c r="AQ35" s="362" t="s">
        <v>256</v>
      </c>
      <c r="AR35" s="362" t="s">
        <v>256</v>
      </c>
      <c r="AS35" s="362" t="s">
        <v>285</v>
      </c>
      <c r="AT35" s="362" t="s">
        <v>259</v>
      </c>
      <c r="AU35" s="362" t="s">
        <v>284</v>
      </c>
      <c r="AV35" s="362" t="s">
        <v>259</v>
      </c>
      <c r="AW35" s="362" t="s">
        <v>256</v>
      </c>
      <c r="AX35" s="362" t="s">
        <v>256</v>
      </c>
      <c r="AY35" s="362" t="s">
        <v>256</v>
      </c>
      <c r="AZ35" s="362" t="s">
        <v>256</v>
      </c>
      <c r="BA35" s="362" t="s">
        <v>256</v>
      </c>
      <c r="BB35" s="362" t="s">
        <v>259</v>
      </c>
      <c r="BC35" s="362" t="s">
        <v>286</v>
      </c>
      <c r="BD35" s="362" t="s">
        <v>248</v>
      </c>
      <c r="BE35" s="362" t="s">
        <v>259</v>
      </c>
      <c r="BF35" s="362" t="s">
        <v>248</v>
      </c>
      <c r="BG35" s="362" t="s">
        <v>256</v>
      </c>
      <c r="BH35" s="362" t="s">
        <v>256</v>
      </c>
      <c r="BI35" s="362" t="s">
        <v>256</v>
      </c>
      <c r="BJ35" s="362" t="s">
        <v>256</v>
      </c>
      <c r="BK35" s="362" t="s">
        <v>256</v>
      </c>
      <c r="BL35" s="362" t="s">
        <v>256</v>
      </c>
      <c r="BM35" s="362" t="s">
        <v>259</v>
      </c>
      <c r="BN35" s="362" t="s">
        <v>256</v>
      </c>
      <c r="BO35" s="362" t="s">
        <v>259</v>
      </c>
      <c r="BP35" s="362" t="s">
        <v>284</v>
      </c>
      <c r="BQ35" s="362" t="s">
        <v>256</v>
      </c>
      <c r="BR35" s="362" t="s">
        <v>256</v>
      </c>
      <c r="BS35" s="362" t="s">
        <v>256</v>
      </c>
      <c r="BT35" s="362" t="s">
        <v>284</v>
      </c>
      <c r="BU35" s="362" t="s">
        <v>256</v>
      </c>
      <c r="BV35" s="362" t="s">
        <v>248</v>
      </c>
      <c r="BW35" s="362" t="s">
        <v>285</v>
      </c>
      <c r="BX35" s="362" t="s">
        <v>287</v>
      </c>
      <c r="BY35" s="362" t="s">
        <v>259</v>
      </c>
      <c r="BZ35" s="362" t="s">
        <v>259</v>
      </c>
      <c r="CA35" s="362">
        <v>2.9</v>
      </c>
      <c r="CB35" s="362">
        <v>0.4</v>
      </c>
      <c r="CC35" s="362">
        <v>200</v>
      </c>
      <c r="CD35" s="362">
        <v>6.6000000000000003E-2</v>
      </c>
      <c r="CE35" s="362">
        <v>0.55000000000000004</v>
      </c>
      <c r="CF35" s="362">
        <v>2.7</v>
      </c>
      <c r="CG35" s="362">
        <v>14</v>
      </c>
      <c r="CH35" s="362">
        <v>889</v>
      </c>
      <c r="CI35" s="362">
        <v>110</v>
      </c>
      <c r="CJ35" s="362" t="s">
        <v>254</v>
      </c>
      <c r="CK35" s="362">
        <v>94.5</v>
      </c>
      <c r="CL35" s="362">
        <v>100</v>
      </c>
      <c r="CM35" s="362">
        <v>9.1999999999999998E-2</v>
      </c>
      <c r="CN35" s="362" t="s">
        <v>288</v>
      </c>
      <c r="CO35" s="362">
        <v>11</v>
      </c>
      <c r="CP35" s="362">
        <v>12</v>
      </c>
      <c r="CQ35" s="362" t="s">
        <v>254</v>
      </c>
      <c r="CR35" s="362" t="s">
        <v>254</v>
      </c>
      <c r="CS35" s="362">
        <v>15</v>
      </c>
      <c r="CT35" s="362" t="s">
        <v>284</v>
      </c>
      <c r="CU35" s="362">
        <v>1.6</v>
      </c>
      <c r="CV35" s="362">
        <v>320</v>
      </c>
      <c r="CW35" s="362">
        <v>0.74</v>
      </c>
      <c r="CX35" s="362">
        <v>3.9</v>
      </c>
      <c r="CY35" s="362">
        <v>0.24</v>
      </c>
      <c r="CZ35" s="362">
        <v>7.8</v>
      </c>
      <c r="DA35" s="362">
        <v>1.2</v>
      </c>
      <c r="DB35" s="362">
        <v>3300</v>
      </c>
      <c r="DC35" s="362">
        <v>870</v>
      </c>
      <c r="DD35" s="362">
        <v>22</v>
      </c>
      <c r="DE35" s="362">
        <v>1800</v>
      </c>
      <c r="DF35" s="362">
        <v>7</v>
      </c>
      <c r="DG35" s="362">
        <v>7.8</v>
      </c>
      <c r="DH35" s="362">
        <v>2.4</v>
      </c>
      <c r="DI35" s="362">
        <v>580</v>
      </c>
      <c r="DJ35" s="362">
        <v>40</v>
      </c>
      <c r="DK35" s="362">
        <v>30</v>
      </c>
      <c r="DL35" s="362" t="s">
        <v>330</v>
      </c>
      <c r="DM35" s="362">
        <v>6.75</v>
      </c>
      <c r="DN35" s="362">
        <v>7.62</v>
      </c>
      <c r="DO35" s="362">
        <v>2781.4</v>
      </c>
      <c r="DP35" s="362">
        <v>22.44</v>
      </c>
      <c r="DQ35" s="362">
        <v>3.12</v>
      </c>
    </row>
    <row r="36" spans="1:121" hidden="1" x14ac:dyDescent="0.25">
      <c r="A36" s="362" t="s">
        <v>112</v>
      </c>
      <c r="B36" s="56" t="str">
        <f>VLOOKUP(Table3[[#This Row],[Station]], StationName, 2, FALSE)</f>
        <v>L05-489-3</v>
      </c>
      <c r="C36" s="362">
        <v>1724008</v>
      </c>
      <c r="D36" s="221">
        <v>44342.432638888888</v>
      </c>
      <c r="E36" s="362" t="s">
        <v>293</v>
      </c>
      <c r="F36" s="362" t="s">
        <v>294</v>
      </c>
      <c r="G36" s="362" t="s">
        <v>294</v>
      </c>
      <c r="H36" s="362" t="s">
        <v>294</v>
      </c>
      <c r="I36" s="362" t="s">
        <v>294</v>
      </c>
      <c r="J36" s="362" t="s">
        <v>294</v>
      </c>
      <c r="K36" s="362" t="s">
        <v>294</v>
      </c>
      <c r="L36" s="362" t="s">
        <v>294</v>
      </c>
      <c r="M36" s="362" t="s">
        <v>294</v>
      </c>
      <c r="N36" s="362" t="s">
        <v>294</v>
      </c>
      <c r="O36" s="362" t="s">
        <v>294</v>
      </c>
      <c r="P36" s="362" t="s">
        <v>294</v>
      </c>
      <c r="Q36" s="362" t="s">
        <v>294</v>
      </c>
      <c r="R36" s="362" t="s">
        <v>294</v>
      </c>
      <c r="S36" s="362" t="s">
        <v>294</v>
      </c>
      <c r="T36" s="362" t="s">
        <v>294</v>
      </c>
      <c r="U36" s="362" t="s">
        <v>294</v>
      </c>
      <c r="V36" s="362" t="s">
        <v>294</v>
      </c>
      <c r="W36" s="362" t="s">
        <v>294</v>
      </c>
      <c r="X36" s="362" t="s">
        <v>294</v>
      </c>
      <c r="Y36" s="362" t="s">
        <v>294</v>
      </c>
      <c r="Z36" s="362" t="s">
        <v>294</v>
      </c>
      <c r="AA36" s="362" t="s">
        <v>294</v>
      </c>
      <c r="AB36" s="362" t="s">
        <v>294</v>
      </c>
      <c r="AC36" s="362" t="s">
        <v>294</v>
      </c>
      <c r="AD36" s="362" t="s">
        <v>294</v>
      </c>
      <c r="AE36" s="362" t="s">
        <v>294</v>
      </c>
      <c r="AF36" s="362" t="s">
        <v>294</v>
      </c>
      <c r="AG36" s="362" t="s">
        <v>294</v>
      </c>
      <c r="AH36" s="362" t="s">
        <v>294</v>
      </c>
      <c r="AI36" s="362" t="s">
        <v>294</v>
      </c>
      <c r="AJ36" s="362" t="s">
        <v>294</v>
      </c>
      <c r="AK36" s="362" t="s">
        <v>294</v>
      </c>
      <c r="AL36" s="362" t="s">
        <v>294</v>
      </c>
      <c r="AM36" s="362" t="s">
        <v>294</v>
      </c>
      <c r="AN36" s="362" t="s">
        <v>294</v>
      </c>
      <c r="AO36" s="362" t="s">
        <v>294</v>
      </c>
      <c r="AP36" s="362" t="s">
        <v>294</v>
      </c>
      <c r="AQ36" s="362" t="s">
        <v>294</v>
      </c>
      <c r="AR36" s="362" t="s">
        <v>294</v>
      </c>
      <c r="AS36" s="362" t="s">
        <v>294</v>
      </c>
      <c r="AT36" s="362" t="s">
        <v>294</v>
      </c>
      <c r="AU36" s="362" t="s">
        <v>294</v>
      </c>
      <c r="AV36" s="362" t="s">
        <v>294</v>
      </c>
      <c r="AW36" s="362" t="s">
        <v>294</v>
      </c>
      <c r="AX36" s="362" t="s">
        <v>294</v>
      </c>
      <c r="AY36" s="362" t="s">
        <v>294</v>
      </c>
      <c r="AZ36" s="362" t="s">
        <v>294</v>
      </c>
      <c r="BA36" s="362" t="s">
        <v>294</v>
      </c>
      <c r="BB36" s="362" t="s">
        <v>294</v>
      </c>
      <c r="BC36" s="362" t="s">
        <v>294</v>
      </c>
      <c r="BD36" s="362" t="s">
        <v>294</v>
      </c>
      <c r="BE36" s="362" t="s">
        <v>294</v>
      </c>
      <c r="BF36" s="362" t="s">
        <v>294</v>
      </c>
      <c r="BG36" s="362" t="s">
        <v>294</v>
      </c>
      <c r="BH36" s="362" t="s">
        <v>294</v>
      </c>
      <c r="BI36" s="362" t="s">
        <v>294</v>
      </c>
      <c r="BJ36" s="362" t="s">
        <v>294</v>
      </c>
      <c r="BK36" s="362" t="s">
        <v>294</v>
      </c>
      <c r="BL36" s="362" t="s">
        <v>294</v>
      </c>
      <c r="BM36" s="362" t="s">
        <v>294</v>
      </c>
      <c r="BN36" s="362" t="s">
        <v>294</v>
      </c>
      <c r="BO36" s="362" t="s">
        <v>294</v>
      </c>
      <c r="BP36" s="362" t="s">
        <v>294</v>
      </c>
      <c r="BQ36" s="362" t="s">
        <v>294</v>
      </c>
      <c r="BR36" s="362" t="s">
        <v>294</v>
      </c>
      <c r="BS36" s="362" t="s">
        <v>294</v>
      </c>
      <c r="BT36" s="362" t="s">
        <v>294</v>
      </c>
      <c r="BU36" s="362" t="s">
        <v>294</v>
      </c>
      <c r="BV36" s="362" t="s">
        <v>294</v>
      </c>
      <c r="BW36" s="362" t="s">
        <v>294</v>
      </c>
      <c r="BX36" s="362" t="s">
        <v>294</v>
      </c>
      <c r="BY36" s="362" t="s">
        <v>294</v>
      </c>
      <c r="BZ36" s="362" t="s">
        <v>294</v>
      </c>
      <c r="CA36" s="362">
        <v>2.8</v>
      </c>
      <c r="CB36" s="362" t="s">
        <v>254</v>
      </c>
      <c r="CC36" s="362" t="s">
        <v>294</v>
      </c>
      <c r="CD36" s="362" t="s">
        <v>230</v>
      </c>
      <c r="CE36" s="362">
        <v>0.41</v>
      </c>
      <c r="CF36" s="362">
        <v>1.6</v>
      </c>
      <c r="CG36" s="362" t="s">
        <v>294</v>
      </c>
      <c r="CH36" s="362" t="s">
        <v>294</v>
      </c>
      <c r="CI36" s="362">
        <v>41</v>
      </c>
      <c r="CJ36" s="362" t="s">
        <v>254</v>
      </c>
      <c r="CK36" s="362" t="s">
        <v>294</v>
      </c>
      <c r="CL36" s="362">
        <v>98</v>
      </c>
      <c r="CM36" s="362" t="s">
        <v>294</v>
      </c>
      <c r="CN36" s="362" t="s">
        <v>288</v>
      </c>
      <c r="CO36" s="362">
        <v>10</v>
      </c>
      <c r="CP36" s="362">
        <v>11</v>
      </c>
      <c r="CQ36" s="362" t="s">
        <v>254</v>
      </c>
      <c r="CR36" s="362" t="s">
        <v>254</v>
      </c>
      <c r="CS36" s="362" t="s">
        <v>294</v>
      </c>
      <c r="CT36" s="362" t="s">
        <v>284</v>
      </c>
      <c r="CU36" s="362" t="s">
        <v>294</v>
      </c>
      <c r="CV36" s="362" t="s">
        <v>294</v>
      </c>
      <c r="CW36" s="362" t="s">
        <v>294</v>
      </c>
      <c r="CX36" s="362" t="s">
        <v>294</v>
      </c>
      <c r="CY36" s="362" t="s">
        <v>294</v>
      </c>
      <c r="CZ36" s="362" t="s">
        <v>294</v>
      </c>
      <c r="DA36" s="362" t="s">
        <v>294</v>
      </c>
      <c r="DB36" s="362" t="s">
        <v>294</v>
      </c>
      <c r="DC36" s="362" t="s">
        <v>294</v>
      </c>
      <c r="DD36" s="362" t="s">
        <v>294</v>
      </c>
      <c r="DE36" s="362" t="s">
        <v>294</v>
      </c>
      <c r="DF36" s="362" t="s">
        <v>294</v>
      </c>
      <c r="DG36" s="362" t="s">
        <v>294</v>
      </c>
      <c r="DH36" s="362" t="s">
        <v>294</v>
      </c>
      <c r="DI36" s="362" t="s">
        <v>294</v>
      </c>
      <c r="DJ36" s="362" t="s">
        <v>294</v>
      </c>
      <c r="DK36" s="362" t="s">
        <v>294</v>
      </c>
      <c r="DL36" s="362" t="s">
        <v>294</v>
      </c>
      <c r="DM36" s="362" t="s">
        <v>294</v>
      </c>
      <c r="DN36" s="362" t="s">
        <v>294</v>
      </c>
      <c r="DO36" s="362" t="s">
        <v>294</v>
      </c>
      <c r="DP36" s="362" t="s">
        <v>294</v>
      </c>
      <c r="DQ36" s="362" t="s">
        <v>294</v>
      </c>
    </row>
    <row r="37" spans="1:121" x14ac:dyDescent="0.25">
      <c r="A37" s="362" t="s">
        <v>113</v>
      </c>
      <c r="B37" s="56" t="str">
        <f>VLOOKUP(Table3[[#This Row],[Station]], StationName, 2, FALSE)</f>
        <v>L05-049-1</v>
      </c>
      <c r="C37" s="362">
        <v>1724004</v>
      </c>
      <c r="D37" s="221">
        <v>44342.46875</v>
      </c>
      <c r="E37" s="362" t="s">
        <v>283</v>
      </c>
      <c r="F37" s="362">
        <v>72</v>
      </c>
      <c r="G37" s="362">
        <v>88</v>
      </c>
      <c r="H37" s="362">
        <v>101</v>
      </c>
      <c r="I37" s="362">
        <v>86</v>
      </c>
      <c r="J37" s="362">
        <v>60</v>
      </c>
      <c r="K37" s="362">
        <v>82</v>
      </c>
      <c r="L37" s="362">
        <v>88</v>
      </c>
      <c r="M37" s="362">
        <v>90</v>
      </c>
      <c r="N37" s="362">
        <v>77</v>
      </c>
      <c r="O37" s="362" t="s">
        <v>259</v>
      </c>
      <c r="P37" s="362" t="s">
        <v>259</v>
      </c>
      <c r="Q37" s="362" t="s">
        <v>259</v>
      </c>
      <c r="R37" s="362" t="s">
        <v>259</v>
      </c>
      <c r="S37" s="362" t="s">
        <v>259</v>
      </c>
      <c r="T37" s="362" t="s">
        <v>259</v>
      </c>
      <c r="U37" s="362" t="s">
        <v>256</v>
      </c>
      <c r="V37" s="362" t="s">
        <v>256</v>
      </c>
      <c r="W37" s="362" t="s">
        <v>256</v>
      </c>
      <c r="X37" s="362" t="s">
        <v>256</v>
      </c>
      <c r="Y37" s="362" t="s">
        <v>284</v>
      </c>
      <c r="Z37" s="362" t="s">
        <v>256</v>
      </c>
      <c r="AA37" s="362" t="s">
        <v>256</v>
      </c>
      <c r="AB37" s="362" t="s">
        <v>256</v>
      </c>
      <c r="AC37" s="362">
        <v>5.52</v>
      </c>
      <c r="AD37" s="362" t="s">
        <v>256</v>
      </c>
      <c r="AE37" s="362" t="s">
        <v>256</v>
      </c>
      <c r="AF37" s="362" t="s">
        <v>256</v>
      </c>
      <c r="AG37" s="362" t="s">
        <v>256</v>
      </c>
      <c r="AH37" s="362" t="s">
        <v>256</v>
      </c>
      <c r="AI37" s="362" t="s">
        <v>256</v>
      </c>
      <c r="AJ37" s="362" t="s">
        <v>248</v>
      </c>
      <c r="AK37" s="362" t="s">
        <v>259</v>
      </c>
      <c r="AL37" s="362" t="s">
        <v>259</v>
      </c>
      <c r="AM37" s="362" t="s">
        <v>251</v>
      </c>
      <c r="AN37" s="362" t="s">
        <v>256</v>
      </c>
      <c r="AO37" s="362" t="s">
        <v>259</v>
      </c>
      <c r="AP37" s="362" t="s">
        <v>251</v>
      </c>
      <c r="AQ37" s="362" t="s">
        <v>256</v>
      </c>
      <c r="AR37" s="362" t="s">
        <v>256</v>
      </c>
      <c r="AS37" s="362" t="s">
        <v>285</v>
      </c>
      <c r="AT37" s="362" t="s">
        <v>259</v>
      </c>
      <c r="AU37" s="362" t="s">
        <v>284</v>
      </c>
      <c r="AV37" s="362" t="s">
        <v>259</v>
      </c>
      <c r="AW37" s="362" t="s">
        <v>256</v>
      </c>
      <c r="AX37" s="362" t="s">
        <v>256</v>
      </c>
      <c r="AY37" s="362" t="s">
        <v>256</v>
      </c>
      <c r="AZ37" s="362" t="s">
        <v>256</v>
      </c>
      <c r="BA37" s="362" t="s">
        <v>256</v>
      </c>
      <c r="BB37" s="362" t="s">
        <v>259</v>
      </c>
      <c r="BC37" s="362" t="s">
        <v>286</v>
      </c>
      <c r="BD37" s="362" t="s">
        <v>248</v>
      </c>
      <c r="BE37" s="362" t="s">
        <v>259</v>
      </c>
      <c r="BF37" s="362" t="s">
        <v>248</v>
      </c>
      <c r="BG37" s="362" t="s">
        <v>256</v>
      </c>
      <c r="BH37" s="362" t="s">
        <v>256</v>
      </c>
      <c r="BI37" s="362" t="s">
        <v>256</v>
      </c>
      <c r="BJ37" s="362" t="s">
        <v>256</v>
      </c>
      <c r="BK37" s="362" t="s">
        <v>256</v>
      </c>
      <c r="BL37" s="362" t="s">
        <v>256</v>
      </c>
      <c r="BM37" s="362" t="s">
        <v>259</v>
      </c>
      <c r="BN37" s="362" t="s">
        <v>256</v>
      </c>
      <c r="BO37" s="362" t="s">
        <v>259</v>
      </c>
      <c r="BP37" s="362" t="s">
        <v>284</v>
      </c>
      <c r="BQ37" s="362" t="s">
        <v>256</v>
      </c>
      <c r="BR37" s="362" t="s">
        <v>256</v>
      </c>
      <c r="BS37" s="362" t="s">
        <v>256</v>
      </c>
      <c r="BT37" s="362" t="s">
        <v>284</v>
      </c>
      <c r="BU37" s="362" t="s">
        <v>256</v>
      </c>
      <c r="BV37" s="362" t="s">
        <v>248</v>
      </c>
      <c r="BW37" s="362" t="s">
        <v>285</v>
      </c>
      <c r="BX37" s="362" t="s">
        <v>287</v>
      </c>
      <c r="BY37" s="362" t="s">
        <v>259</v>
      </c>
      <c r="BZ37" s="362" t="s">
        <v>259</v>
      </c>
      <c r="CA37" s="362">
        <v>1.8</v>
      </c>
      <c r="CB37" s="362">
        <v>7.2</v>
      </c>
      <c r="CC37" s="362">
        <v>250</v>
      </c>
      <c r="CD37" s="362" t="s">
        <v>230</v>
      </c>
      <c r="CE37" s="362">
        <v>0.37</v>
      </c>
      <c r="CF37" s="362">
        <v>5.2</v>
      </c>
      <c r="CG37" s="362">
        <v>9.9</v>
      </c>
      <c r="CH37" s="362">
        <v>1210</v>
      </c>
      <c r="CI37" s="362">
        <v>61</v>
      </c>
      <c r="CJ37" s="362" t="s">
        <v>254</v>
      </c>
      <c r="CK37" s="362">
        <v>143</v>
      </c>
      <c r="CL37" s="362">
        <v>140</v>
      </c>
      <c r="CM37" s="362">
        <v>6.6000000000000003E-2</v>
      </c>
      <c r="CN37" s="362" t="s">
        <v>288</v>
      </c>
      <c r="CO37" s="362">
        <v>56</v>
      </c>
      <c r="CP37" s="362">
        <v>10</v>
      </c>
      <c r="CQ37" s="362" t="s">
        <v>254</v>
      </c>
      <c r="CR37" s="362" t="s">
        <v>254</v>
      </c>
      <c r="CS37" s="362">
        <v>11</v>
      </c>
      <c r="CT37" s="362">
        <v>25</v>
      </c>
      <c r="CU37" s="362">
        <v>0.11</v>
      </c>
      <c r="CV37" s="362">
        <v>300</v>
      </c>
      <c r="CW37" s="362">
        <v>6.7</v>
      </c>
      <c r="CX37" s="362">
        <v>1.4</v>
      </c>
      <c r="CY37" s="362">
        <v>0.28999999999999998</v>
      </c>
      <c r="CZ37" s="362">
        <v>7.83</v>
      </c>
      <c r="DA37" s="362">
        <v>1.7</v>
      </c>
      <c r="DB37" s="362">
        <v>3700</v>
      </c>
      <c r="DC37" s="362">
        <v>1200</v>
      </c>
      <c r="DD37" s="362">
        <v>22.1</v>
      </c>
      <c r="DE37" s="362">
        <v>2400</v>
      </c>
      <c r="DF37" s="362" t="s">
        <v>289</v>
      </c>
      <c r="DG37" s="362" t="s">
        <v>331</v>
      </c>
      <c r="DH37" s="362">
        <v>1.3</v>
      </c>
      <c r="DI37" s="362">
        <v>3500</v>
      </c>
      <c r="DJ37" s="362">
        <v>630</v>
      </c>
      <c r="DK37" s="362">
        <v>790</v>
      </c>
      <c r="DL37" s="362" t="s">
        <v>332</v>
      </c>
      <c r="DM37" s="362">
        <v>8.7899999999999991</v>
      </c>
      <c r="DN37" s="362">
        <v>8.01</v>
      </c>
      <c r="DO37" s="362">
        <v>3127.5</v>
      </c>
      <c r="DP37" s="362">
        <v>18.170000000000002</v>
      </c>
      <c r="DQ37" s="362">
        <v>1.47</v>
      </c>
    </row>
    <row r="38" spans="1:121" hidden="1" x14ac:dyDescent="0.25">
      <c r="A38" s="362" t="s">
        <v>113</v>
      </c>
      <c r="B38" s="56" t="str">
        <f>VLOOKUP(Table3[[#This Row],[Station]], StationName, 2, FALSE)</f>
        <v>L05-049-1</v>
      </c>
      <c r="C38" s="362">
        <v>1724009</v>
      </c>
      <c r="D38" s="221">
        <v>44342.46875</v>
      </c>
      <c r="E38" s="362" t="s">
        <v>293</v>
      </c>
      <c r="F38" s="362" t="s">
        <v>294</v>
      </c>
      <c r="G38" s="362" t="s">
        <v>294</v>
      </c>
      <c r="H38" s="362" t="s">
        <v>294</v>
      </c>
      <c r="I38" s="362" t="s">
        <v>294</v>
      </c>
      <c r="J38" s="362" t="s">
        <v>294</v>
      </c>
      <c r="K38" s="362" t="s">
        <v>294</v>
      </c>
      <c r="L38" s="362" t="s">
        <v>294</v>
      </c>
      <c r="M38" s="362" t="s">
        <v>294</v>
      </c>
      <c r="N38" s="362" t="s">
        <v>294</v>
      </c>
      <c r="O38" s="362" t="s">
        <v>294</v>
      </c>
      <c r="P38" s="362" t="s">
        <v>294</v>
      </c>
      <c r="Q38" s="362" t="s">
        <v>294</v>
      </c>
      <c r="R38" s="362" t="s">
        <v>294</v>
      </c>
      <c r="S38" s="362" t="s">
        <v>294</v>
      </c>
      <c r="T38" s="362" t="s">
        <v>294</v>
      </c>
      <c r="U38" s="362" t="s">
        <v>294</v>
      </c>
      <c r="V38" s="362" t="s">
        <v>294</v>
      </c>
      <c r="W38" s="362" t="s">
        <v>294</v>
      </c>
      <c r="X38" s="362" t="s">
        <v>294</v>
      </c>
      <c r="Y38" s="362" t="s">
        <v>294</v>
      </c>
      <c r="Z38" s="362" t="s">
        <v>294</v>
      </c>
      <c r="AA38" s="362" t="s">
        <v>294</v>
      </c>
      <c r="AB38" s="362" t="s">
        <v>294</v>
      </c>
      <c r="AC38" s="362" t="s">
        <v>294</v>
      </c>
      <c r="AD38" s="362" t="s">
        <v>294</v>
      </c>
      <c r="AE38" s="362" t="s">
        <v>294</v>
      </c>
      <c r="AF38" s="362" t="s">
        <v>294</v>
      </c>
      <c r="AG38" s="362" t="s">
        <v>294</v>
      </c>
      <c r="AH38" s="362" t="s">
        <v>294</v>
      </c>
      <c r="AI38" s="362" t="s">
        <v>294</v>
      </c>
      <c r="AJ38" s="362" t="s">
        <v>294</v>
      </c>
      <c r="AK38" s="362" t="s">
        <v>294</v>
      </c>
      <c r="AL38" s="362" t="s">
        <v>294</v>
      </c>
      <c r="AM38" s="362" t="s">
        <v>294</v>
      </c>
      <c r="AN38" s="362" t="s">
        <v>294</v>
      </c>
      <c r="AO38" s="362" t="s">
        <v>294</v>
      </c>
      <c r="AP38" s="362" t="s">
        <v>294</v>
      </c>
      <c r="AQ38" s="362" t="s">
        <v>294</v>
      </c>
      <c r="AR38" s="362" t="s">
        <v>294</v>
      </c>
      <c r="AS38" s="362" t="s">
        <v>294</v>
      </c>
      <c r="AT38" s="362" t="s">
        <v>294</v>
      </c>
      <c r="AU38" s="362" t="s">
        <v>294</v>
      </c>
      <c r="AV38" s="362" t="s">
        <v>294</v>
      </c>
      <c r="AW38" s="362" t="s">
        <v>294</v>
      </c>
      <c r="AX38" s="362" t="s">
        <v>294</v>
      </c>
      <c r="AY38" s="362" t="s">
        <v>294</v>
      </c>
      <c r="AZ38" s="362" t="s">
        <v>294</v>
      </c>
      <c r="BA38" s="362" t="s">
        <v>294</v>
      </c>
      <c r="BB38" s="362" t="s">
        <v>294</v>
      </c>
      <c r="BC38" s="362" t="s">
        <v>294</v>
      </c>
      <c r="BD38" s="362" t="s">
        <v>294</v>
      </c>
      <c r="BE38" s="362" t="s">
        <v>294</v>
      </c>
      <c r="BF38" s="362" t="s">
        <v>294</v>
      </c>
      <c r="BG38" s="362" t="s">
        <v>294</v>
      </c>
      <c r="BH38" s="362" t="s">
        <v>294</v>
      </c>
      <c r="BI38" s="362" t="s">
        <v>294</v>
      </c>
      <c r="BJ38" s="362" t="s">
        <v>294</v>
      </c>
      <c r="BK38" s="362" t="s">
        <v>294</v>
      </c>
      <c r="BL38" s="362" t="s">
        <v>294</v>
      </c>
      <c r="BM38" s="362" t="s">
        <v>294</v>
      </c>
      <c r="BN38" s="362" t="s">
        <v>294</v>
      </c>
      <c r="BO38" s="362" t="s">
        <v>294</v>
      </c>
      <c r="BP38" s="362" t="s">
        <v>294</v>
      </c>
      <c r="BQ38" s="362" t="s">
        <v>294</v>
      </c>
      <c r="BR38" s="362" t="s">
        <v>294</v>
      </c>
      <c r="BS38" s="362" t="s">
        <v>294</v>
      </c>
      <c r="BT38" s="362" t="s">
        <v>294</v>
      </c>
      <c r="BU38" s="362" t="s">
        <v>294</v>
      </c>
      <c r="BV38" s="362" t="s">
        <v>294</v>
      </c>
      <c r="BW38" s="362" t="s">
        <v>294</v>
      </c>
      <c r="BX38" s="362" t="s">
        <v>294</v>
      </c>
      <c r="BY38" s="362" t="s">
        <v>294</v>
      </c>
      <c r="BZ38" s="362" t="s">
        <v>294</v>
      </c>
      <c r="CA38" s="362">
        <v>1.8</v>
      </c>
      <c r="CB38" s="362">
        <v>4.5999999999999996</v>
      </c>
      <c r="CC38" s="362" t="s">
        <v>294</v>
      </c>
      <c r="CD38" s="362">
        <v>6.4000000000000001E-2</v>
      </c>
      <c r="CE38" s="362">
        <v>0.31</v>
      </c>
      <c r="CF38" s="362">
        <v>4.9000000000000004</v>
      </c>
      <c r="CG38" s="362" t="s">
        <v>294</v>
      </c>
      <c r="CH38" s="362" t="s">
        <v>294</v>
      </c>
      <c r="CI38" s="362">
        <v>20</v>
      </c>
      <c r="CJ38" s="362" t="s">
        <v>254</v>
      </c>
      <c r="CK38" s="362" t="s">
        <v>294</v>
      </c>
      <c r="CL38" s="362">
        <v>130</v>
      </c>
      <c r="CM38" s="362" t="s">
        <v>294</v>
      </c>
      <c r="CN38" s="362" t="s">
        <v>288</v>
      </c>
      <c r="CO38" s="362">
        <v>55</v>
      </c>
      <c r="CP38" s="362">
        <v>10</v>
      </c>
      <c r="CQ38" s="362" t="s">
        <v>254</v>
      </c>
      <c r="CR38" s="362" t="s">
        <v>254</v>
      </c>
      <c r="CS38" s="362" t="s">
        <v>294</v>
      </c>
      <c r="CT38" s="362">
        <v>21</v>
      </c>
      <c r="CU38" s="362" t="s">
        <v>294</v>
      </c>
      <c r="CV38" s="362" t="s">
        <v>294</v>
      </c>
      <c r="CW38" s="362" t="s">
        <v>294</v>
      </c>
      <c r="CX38" s="362" t="s">
        <v>294</v>
      </c>
      <c r="CY38" s="362" t="s">
        <v>294</v>
      </c>
      <c r="CZ38" s="362" t="s">
        <v>294</v>
      </c>
      <c r="DA38" s="362" t="s">
        <v>294</v>
      </c>
      <c r="DB38" s="362" t="s">
        <v>294</v>
      </c>
      <c r="DC38" s="362" t="s">
        <v>294</v>
      </c>
      <c r="DD38" s="362" t="s">
        <v>294</v>
      </c>
      <c r="DE38" s="362" t="s">
        <v>294</v>
      </c>
      <c r="DF38" s="362" t="s">
        <v>294</v>
      </c>
      <c r="DG38" s="362" t="s">
        <v>294</v>
      </c>
      <c r="DH38" s="362" t="s">
        <v>294</v>
      </c>
      <c r="DI38" s="362" t="s">
        <v>294</v>
      </c>
      <c r="DJ38" s="362" t="s">
        <v>294</v>
      </c>
      <c r="DK38" s="362" t="s">
        <v>294</v>
      </c>
      <c r="DL38" s="362" t="s">
        <v>294</v>
      </c>
      <c r="DM38" s="362" t="s">
        <v>294</v>
      </c>
      <c r="DN38" s="362" t="s">
        <v>294</v>
      </c>
      <c r="DO38" s="362" t="s">
        <v>294</v>
      </c>
      <c r="DP38" s="362" t="s">
        <v>294</v>
      </c>
      <c r="DQ38" s="362" t="s">
        <v>294</v>
      </c>
    </row>
    <row r="39" spans="1:121" x14ac:dyDescent="0.25">
      <c r="A39" s="362" t="s">
        <v>333</v>
      </c>
      <c r="B39" s="56" t="str">
        <f>VLOOKUP(Table3[[#This Row],[Station]], StationName, 2, FALSE)</f>
        <v>L02-374-1 (L02P50)</v>
      </c>
      <c r="C39" s="362">
        <v>1724005</v>
      </c>
      <c r="D39" s="221">
        <v>44342.524305555555</v>
      </c>
      <c r="E39" s="362" t="s">
        <v>283</v>
      </c>
      <c r="F39" s="362">
        <v>67</v>
      </c>
      <c r="G39" s="362">
        <v>87</v>
      </c>
      <c r="H39" s="362">
        <v>106</v>
      </c>
      <c r="I39" s="362">
        <v>89</v>
      </c>
      <c r="J39" s="362">
        <v>55</v>
      </c>
      <c r="K39" s="362">
        <v>83</v>
      </c>
      <c r="L39" s="362">
        <v>91</v>
      </c>
      <c r="M39" s="362">
        <v>93</v>
      </c>
      <c r="N39" s="362">
        <v>72</v>
      </c>
      <c r="O39" s="362" t="s">
        <v>259</v>
      </c>
      <c r="P39" s="362" t="s">
        <v>259</v>
      </c>
      <c r="Q39" s="362" t="s">
        <v>259</v>
      </c>
      <c r="R39" s="362" t="s">
        <v>259</v>
      </c>
      <c r="S39" s="362" t="s">
        <v>259</v>
      </c>
      <c r="T39" s="362" t="s">
        <v>259</v>
      </c>
      <c r="U39" s="362" t="s">
        <v>256</v>
      </c>
      <c r="V39" s="362" t="s">
        <v>256</v>
      </c>
      <c r="W39" s="362" t="s">
        <v>256</v>
      </c>
      <c r="X39" s="362" t="s">
        <v>256</v>
      </c>
      <c r="Y39" s="362" t="s">
        <v>284</v>
      </c>
      <c r="Z39" s="362" t="s">
        <v>256</v>
      </c>
      <c r="AA39" s="362" t="s">
        <v>256</v>
      </c>
      <c r="AB39" s="362" t="s">
        <v>256</v>
      </c>
      <c r="AC39" s="362">
        <v>4.51</v>
      </c>
      <c r="AD39" s="362" t="s">
        <v>256</v>
      </c>
      <c r="AE39" s="362" t="s">
        <v>256</v>
      </c>
      <c r="AF39" s="362" t="s">
        <v>256</v>
      </c>
      <c r="AG39" s="362" t="s">
        <v>256</v>
      </c>
      <c r="AH39" s="362" t="s">
        <v>256</v>
      </c>
      <c r="AI39" s="362" t="s">
        <v>256</v>
      </c>
      <c r="AJ39" s="362" t="s">
        <v>248</v>
      </c>
      <c r="AK39" s="362" t="s">
        <v>259</v>
      </c>
      <c r="AL39" s="362" t="s">
        <v>259</v>
      </c>
      <c r="AM39" s="362" t="s">
        <v>251</v>
      </c>
      <c r="AN39" s="362" t="s">
        <v>256</v>
      </c>
      <c r="AO39" s="362" t="s">
        <v>259</v>
      </c>
      <c r="AP39" s="362" t="s">
        <v>251</v>
      </c>
      <c r="AQ39" s="362" t="s">
        <v>256</v>
      </c>
      <c r="AR39" s="362" t="s">
        <v>256</v>
      </c>
      <c r="AS39" s="362" t="s">
        <v>285</v>
      </c>
      <c r="AT39" s="362" t="s">
        <v>259</v>
      </c>
      <c r="AU39" s="362" t="s">
        <v>284</v>
      </c>
      <c r="AV39" s="362" t="s">
        <v>259</v>
      </c>
      <c r="AW39" s="362" t="s">
        <v>256</v>
      </c>
      <c r="AX39" s="362" t="s">
        <v>256</v>
      </c>
      <c r="AY39" s="362" t="s">
        <v>256</v>
      </c>
      <c r="AZ39" s="362" t="s">
        <v>256</v>
      </c>
      <c r="BA39" s="362" t="s">
        <v>256</v>
      </c>
      <c r="BB39" s="362" t="s">
        <v>259</v>
      </c>
      <c r="BC39" s="362" t="s">
        <v>286</v>
      </c>
      <c r="BD39" s="362" t="s">
        <v>248</v>
      </c>
      <c r="BE39" s="362" t="s">
        <v>259</v>
      </c>
      <c r="BF39" s="362" t="s">
        <v>248</v>
      </c>
      <c r="BG39" s="362" t="s">
        <v>256</v>
      </c>
      <c r="BH39" s="362" t="s">
        <v>256</v>
      </c>
      <c r="BI39" s="362" t="s">
        <v>256</v>
      </c>
      <c r="BJ39" s="362" t="s">
        <v>256</v>
      </c>
      <c r="BK39" s="362" t="s">
        <v>256</v>
      </c>
      <c r="BL39" s="362" t="s">
        <v>256</v>
      </c>
      <c r="BM39" s="362" t="s">
        <v>259</v>
      </c>
      <c r="BN39" s="362" t="s">
        <v>256</v>
      </c>
      <c r="BO39" s="362" t="s">
        <v>259</v>
      </c>
      <c r="BP39" s="362" t="s">
        <v>284</v>
      </c>
      <c r="BQ39" s="362" t="s">
        <v>256</v>
      </c>
      <c r="BR39" s="362" t="s">
        <v>256</v>
      </c>
      <c r="BS39" s="362" t="s">
        <v>256</v>
      </c>
      <c r="BT39" s="362" t="s">
        <v>284</v>
      </c>
      <c r="BU39" s="362" t="s">
        <v>256</v>
      </c>
      <c r="BV39" s="362" t="s">
        <v>248</v>
      </c>
      <c r="BW39" s="362" t="s">
        <v>285</v>
      </c>
      <c r="BX39" s="362" t="s">
        <v>287</v>
      </c>
      <c r="BY39" s="362" t="s">
        <v>259</v>
      </c>
      <c r="BZ39" s="362" t="s">
        <v>259</v>
      </c>
      <c r="CA39" s="362">
        <v>2.2999999999999998</v>
      </c>
      <c r="CB39" s="362">
        <v>0.97</v>
      </c>
      <c r="CC39" s="362">
        <v>248</v>
      </c>
      <c r="CD39" s="362">
        <v>5.3999999999999999E-2</v>
      </c>
      <c r="CE39" s="362">
        <v>0.26</v>
      </c>
      <c r="CF39" s="362">
        <v>4.3</v>
      </c>
      <c r="CG39" s="362">
        <v>4.4000000000000004</v>
      </c>
      <c r="CH39" s="362">
        <v>964</v>
      </c>
      <c r="CI39" s="362">
        <v>32</v>
      </c>
      <c r="CJ39" s="362" t="s">
        <v>254</v>
      </c>
      <c r="CK39" s="362">
        <v>83.8</v>
      </c>
      <c r="CL39" s="362">
        <v>46</v>
      </c>
      <c r="CM39" s="362" t="s">
        <v>288</v>
      </c>
      <c r="CN39" s="362" t="s">
        <v>288</v>
      </c>
      <c r="CO39" s="362">
        <v>5.3</v>
      </c>
      <c r="CP39" s="362">
        <v>25</v>
      </c>
      <c r="CQ39" s="362" t="s">
        <v>254</v>
      </c>
      <c r="CR39" s="362" t="s">
        <v>254</v>
      </c>
      <c r="CS39" s="362">
        <v>7</v>
      </c>
      <c r="CT39" s="362">
        <v>15</v>
      </c>
      <c r="CU39" s="362">
        <v>0.23</v>
      </c>
      <c r="CV39" s="362">
        <v>540</v>
      </c>
      <c r="CW39" s="362">
        <v>5.9</v>
      </c>
      <c r="CX39" s="362">
        <v>2.9</v>
      </c>
      <c r="CY39" s="362">
        <v>0.2</v>
      </c>
      <c r="CZ39" s="362">
        <v>7.35</v>
      </c>
      <c r="DA39" s="362">
        <v>1.1000000000000001</v>
      </c>
      <c r="DB39" s="362">
        <v>3700</v>
      </c>
      <c r="DC39" s="362">
        <v>690</v>
      </c>
      <c r="DD39" s="362">
        <v>22.3</v>
      </c>
      <c r="DE39" s="362">
        <v>2000</v>
      </c>
      <c r="DF39" s="362" t="s">
        <v>289</v>
      </c>
      <c r="DG39" s="362" t="s">
        <v>331</v>
      </c>
      <c r="DH39" s="362">
        <v>0.67</v>
      </c>
      <c r="DI39" s="362">
        <v>1600</v>
      </c>
      <c r="DJ39" s="362">
        <v>360</v>
      </c>
      <c r="DK39" s="362">
        <v>340</v>
      </c>
      <c r="DL39" s="362" t="s">
        <v>334</v>
      </c>
      <c r="DM39" s="362">
        <v>7.11</v>
      </c>
      <c r="DN39" s="362">
        <v>7.15</v>
      </c>
      <c r="DO39" s="362">
        <v>3153.5</v>
      </c>
      <c r="DP39" s="362">
        <v>19.510000000000002</v>
      </c>
      <c r="DQ39" s="362">
        <v>0.81</v>
      </c>
    </row>
    <row r="40" spans="1:121" hidden="1" x14ac:dyDescent="0.25">
      <c r="A40" s="362" t="s">
        <v>333</v>
      </c>
      <c r="B40" s="56" t="str">
        <f>VLOOKUP(Table3[[#This Row],[Station]], StationName, 2, FALSE)</f>
        <v>L02-374-1 (L02P50)</v>
      </c>
      <c r="C40" s="362">
        <v>1724010</v>
      </c>
      <c r="D40" s="221">
        <v>44342.524305555555</v>
      </c>
      <c r="E40" s="362" t="s">
        <v>293</v>
      </c>
      <c r="F40" s="362" t="s">
        <v>294</v>
      </c>
      <c r="G40" s="362" t="s">
        <v>294</v>
      </c>
      <c r="H40" s="362" t="s">
        <v>294</v>
      </c>
      <c r="I40" s="362" t="s">
        <v>294</v>
      </c>
      <c r="J40" s="362" t="s">
        <v>294</v>
      </c>
      <c r="K40" s="362" t="s">
        <v>294</v>
      </c>
      <c r="L40" s="362" t="s">
        <v>294</v>
      </c>
      <c r="M40" s="362" t="s">
        <v>294</v>
      </c>
      <c r="N40" s="362" t="s">
        <v>294</v>
      </c>
      <c r="O40" s="362" t="s">
        <v>294</v>
      </c>
      <c r="P40" s="362" t="s">
        <v>294</v>
      </c>
      <c r="Q40" s="362" t="s">
        <v>294</v>
      </c>
      <c r="R40" s="362" t="s">
        <v>294</v>
      </c>
      <c r="S40" s="362" t="s">
        <v>294</v>
      </c>
      <c r="T40" s="362" t="s">
        <v>294</v>
      </c>
      <c r="U40" s="362" t="s">
        <v>294</v>
      </c>
      <c r="V40" s="362" t="s">
        <v>294</v>
      </c>
      <c r="W40" s="362" t="s">
        <v>294</v>
      </c>
      <c r="X40" s="362" t="s">
        <v>294</v>
      </c>
      <c r="Y40" s="362" t="s">
        <v>294</v>
      </c>
      <c r="Z40" s="362" t="s">
        <v>294</v>
      </c>
      <c r="AA40" s="362" t="s">
        <v>294</v>
      </c>
      <c r="AB40" s="362" t="s">
        <v>294</v>
      </c>
      <c r="AC40" s="362" t="s">
        <v>294</v>
      </c>
      <c r="AD40" s="362" t="s">
        <v>294</v>
      </c>
      <c r="AE40" s="362" t="s">
        <v>294</v>
      </c>
      <c r="AF40" s="362" t="s">
        <v>294</v>
      </c>
      <c r="AG40" s="362" t="s">
        <v>294</v>
      </c>
      <c r="AH40" s="362" t="s">
        <v>294</v>
      </c>
      <c r="AI40" s="362" t="s">
        <v>294</v>
      </c>
      <c r="AJ40" s="362" t="s">
        <v>294</v>
      </c>
      <c r="AK40" s="362" t="s">
        <v>294</v>
      </c>
      <c r="AL40" s="362" t="s">
        <v>294</v>
      </c>
      <c r="AM40" s="362" t="s">
        <v>294</v>
      </c>
      <c r="AN40" s="362" t="s">
        <v>294</v>
      </c>
      <c r="AO40" s="362" t="s">
        <v>294</v>
      </c>
      <c r="AP40" s="362" t="s">
        <v>294</v>
      </c>
      <c r="AQ40" s="362" t="s">
        <v>294</v>
      </c>
      <c r="AR40" s="362" t="s">
        <v>294</v>
      </c>
      <c r="AS40" s="362" t="s">
        <v>294</v>
      </c>
      <c r="AT40" s="362" t="s">
        <v>294</v>
      </c>
      <c r="AU40" s="362" t="s">
        <v>294</v>
      </c>
      <c r="AV40" s="362" t="s">
        <v>294</v>
      </c>
      <c r="AW40" s="362" t="s">
        <v>294</v>
      </c>
      <c r="AX40" s="362" t="s">
        <v>294</v>
      </c>
      <c r="AY40" s="362" t="s">
        <v>294</v>
      </c>
      <c r="AZ40" s="362" t="s">
        <v>294</v>
      </c>
      <c r="BA40" s="362" t="s">
        <v>294</v>
      </c>
      <c r="BB40" s="362" t="s">
        <v>294</v>
      </c>
      <c r="BC40" s="362" t="s">
        <v>294</v>
      </c>
      <c r="BD40" s="362" t="s">
        <v>294</v>
      </c>
      <c r="BE40" s="362" t="s">
        <v>294</v>
      </c>
      <c r="BF40" s="362" t="s">
        <v>294</v>
      </c>
      <c r="BG40" s="362" t="s">
        <v>294</v>
      </c>
      <c r="BH40" s="362" t="s">
        <v>294</v>
      </c>
      <c r="BI40" s="362" t="s">
        <v>294</v>
      </c>
      <c r="BJ40" s="362" t="s">
        <v>294</v>
      </c>
      <c r="BK40" s="362" t="s">
        <v>294</v>
      </c>
      <c r="BL40" s="362" t="s">
        <v>294</v>
      </c>
      <c r="BM40" s="362" t="s">
        <v>294</v>
      </c>
      <c r="BN40" s="362" t="s">
        <v>294</v>
      </c>
      <c r="BO40" s="362" t="s">
        <v>294</v>
      </c>
      <c r="BP40" s="362" t="s">
        <v>294</v>
      </c>
      <c r="BQ40" s="362" t="s">
        <v>294</v>
      </c>
      <c r="BR40" s="362" t="s">
        <v>294</v>
      </c>
      <c r="BS40" s="362" t="s">
        <v>294</v>
      </c>
      <c r="BT40" s="362" t="s">
        <v>294</v>
      </c>
      <c r="BU40" s="362" t="s">
        <v>294</v>
      </c>
      <c r="BV40" s="362" t="s">
        <v>294</v>
      </c>
      <c r="BW40" s="362" t="s">
        <v>294</v>
      </c>
      <c r="BX40" s="362" t="s">
        <v>294</v>
      </c>
      <c r="BY40" s="362" t="s">
        <v>294</v>
      </c>
      <c r="BZ40" s="362" t="s">
        <v>294</v>
      </c>
      <c r="CA40" s="362">
        <v>2.2999999999999998</v>
      </c>
      <c r="CB40" s="362">
        <v>0.81</v>
      </c>
      <c r="CC40" s="362" t="s">
        <v>294</v>
      </c>
      <c r="CD40" s="362">
        <v>6.6000000000000003E-2</v>
      </c>
      <c r="CE40" s="362">
        <v>0.24</v>
      </c>
      <c r="CF40" s="362">
        <v>3.6</v>
      </c>
      <c r="CG40" s="362" t="s">
        <v>294</v>
      </c>
      <c r="CH40" s="362" t="s">
        <v>294</v>
      </c>
      <c r="CI40" s="362" t="s">
        <v>286</v>
      </c>
      <c r="CJ40" s="362" t="s">
        <v>254</v>
      </c>
      <c r="CK40" s="362" t="s">
        <v>294</v>
      </c>
      <c r="CL40" s="362">
        <v>43</v>
      </c>
      <c r="CM40" s="362" t="s">
        <v>294</v>
      </c>
      <c r="CN40" s="362" t="s">
        <v>288</v>
      </c>
      <c r="CO40" s="362">
        <v>5.0999999999999996</v>
      </c>
      <c r="CP40" s="362">
        <v>25</v>
      </c>
      <c r="CQ40" s="362" t="s">
        <v>254</v>
      </c>
      <c r="CR40" s="362" t="s">
        <v>254</v>
      </c>
      <c r="CS40" s="362" t="s">
        <v>294</v>
      </c>
      <c r="CT40" s="362">
        <v>14</v>
      </c>
      <c r="CU40" s="362" t="s">
        <v>294</v>
      </c>
      <c r="CV40" s="362" t="s">
        <v>294</v>
      </c>
      <c r="CW40" s="362" t="s">
        <v>294</v>
      </c>
      <c r="CX40" s="362" t="s">
        <v>294</v>
      </c>
      <c r="CY40" s="362" t="s">
        <v>294</v>
      </c>
      <c r="CZ40" s="362" t="s">
        <v>294</v>
      </c>
      <c r="DA40" s="362" t="s">
        <v>294</v>
      </c>
      <c r="DB40" s="362" t="s">
        <v>294</v>
      </c>
      <c r="DC40" s="362" t="s">
        <v>294</v>
      </c>
      <c r="DD40" s="362" t="s">
        <v>294</v>
      </c>
      <c r="DE40" s="362" t="s">
        <v>294</v>
      </c>
      <c r="DF40" s="362" t="s">
        <v>294</v>
      </c>
      <c r="DG40" s="362" t="s">
        <v>294</v>
      </c>
      <c r="DH40" s="362" t="s">
        <v>294</v>
      </c>
      <c r="DI40" s="362" t="s">
        <v>294</v>
      </c>
      <c r="DJ40" s="362" t="s">
        <v>294</v>
      </c>
      <c r="DK40" s="362" t="s">
        <v>294</v>
      </c>
      <c r="DL40" s="362" t="s">
        <v>294</v>
      </c>
      <c r="DM40" s="362" t="s">
        <v>294</v>
      </c>
      <c r="DN40" s="362" t="s">
        <v>294</v>
      </c>
      <c r="DO40" s="362" t="s">
        <v>294</v>
      </c>
      <c r="DP40" s="362" t="s">
        <v>294</v>
      </c>
      <c r="DQ40" s="362" t="s">
        <v>294</v>
      </c>
    </row>
    <row r="41" spans="1:121" x14ac:dyDescent="0.25">
      <c r="A41" s="362" t="s">
        <v>124</v>
      </c>
      <c r="B41" s="56" t="str">
        <f>VLOOKUP(Table3[[#This Row],[Station]], StationName, 2, FALSE)</f>
        <v>L03-418-8</v>
      </c>
      <c r="C41" s="362">
        <v>1721001</v>
      </c>
      <c r="D41" s="221">
        <v>44343.326388888891</v>
      </c>
      <c r="E41" s="362" t="s">
        <v>283</v>
      </c>
      <c r="F41" s="362">
        <v>67</v>
      </c>
      <c r="G41" s="362">
        <v>87</v>
      </c>
      <c r="H41" s="362">
        <v>106</v>
      </c>
      <c r="I41" s="362">
        <v>88</v>
      </c>
      <c r="J41" s="362">
        <v>56</v>
      </c>
      <c r="K41" s="362">
        <v>65</v>
      </c>
      <c r="L41" s="362">
        <v>73</v>
      </c>
      <c r="M41" s="362">
        <v>74</v>
      </c>
      <c r="N41" s="362">
        <v>58</v>
      </c>
      <c r="O41" s="362" t="s">
        <v>259</v>
      </c>
      <c r="P41" s="362" t="s">
        <v>259</v>
      </c>
      <c r="Q41" s="362" t="s">
        <v>259</v>
      </c>
      <c r="R41" s="362" t="s">
        <v>259</v>
      </c>
      <c r="S41" s="362" t="s">
        <v>259</v>
      </c>
      <c r="T41" s="362" t="s">
        <v>259</v>
      </c>
      <c r="U41" s="362" t="s">
        <v>256</v>
      </c>
      <c r="V41" s="362" t="s">
        <v>256</v>
      </c>
      <c r="W41" s="362" t="s">
        <v>256</v>
      </c>
      <c r="X41" s="362" t="s">
        <v>256</v>
      </c>
      <c r="Y41" s="362" t="s">
        <v>284</v>
      </c>
      <c r="Z41" s="362" t="s">
        <v>256</v>
      </c>
      <c r="AA41" s="362" t="s">
        <v>256</v>
      </c>
      <c r="AB41" s="362" t="s">
        <v>256</v>
      </c>
      <c r="AC41" s="362">
        <v>5.21</v>
      </c>
      <c r="AD41" s="362" t="s">
        <v>256</v>
      </c>
      <c r="AE41" s="362" t="s">
        <v>256</v>
      </c>
      <c r="AF41" s="362" t="s">
        <v>256</v>
      </c>
      <c r="AG41" s="362" t="s">
        <v>256</v>
      </c>
      <c r="AH41" s="362" t="s">
        <v>256</v>
      </c>
      <c r="AI41" s="362" t="s">
        <v>256</v>
      </c>
      <c r="AJ41" s="362" t="s">
        <v>248</v>
      </c>
      <c r="AK41" s="362" t="s">
        <v>259</v>
      </c>
      <c r="AL41" s="362" t="s">
        <v>259</v>
      </c>
      <c r="AM41" s="362" t="s">
        <v>251</v>
      </c>
      <c r="AN41" s="362" t="s">
        <v>256</v>
      </c>
      <c r="AO41" s="362" t="s">
        <v>259</v>
      </c>
      <c r="AP41" s="362" t="s">
        <v>251</v>
      </c>
      <c r="AQ41" s="362" t="s">
        <v>256</v>
      </c>
      <c r="AR41" s="362" t="s">
        <v>256</v>
      </c>
      <c r="AS41" s="362" t="s">
        <v>285</v>
      </c>
      <c r="AT41" s="362" t="s">
        <v>259</v>
      </c>
      <c r="AU41" s="362" t="s">
        <v>284</v>
      </c>
      <c r="AV41" s="362" t="s">
        <v>259</v>
      </c>
      <c r="AW41" s="362" t="s">
        <v>256</v>
      </c>
      <c r="AX41" s="362" t="s">
        <v>256</v>
      </c>
      <c r="AY41" s="362" t="s">
        <v>256</v>
      </c>
      <c r="AZ41" s="362" t="s">
        <v>256</v>
      </c>
      <c r="BA41" s="362" t="s">
        <v>256</v>
      </c>
      <c r="BB41" s="362" t="s">
        <v>259</v>
      </c>
      <c r="BC41" s="362" t="s">
        <v>286</v>
      </c>
      <c r="BD41" s="362" t="s">
        <v>248</v>
      </c>
      <c r="BE41" s="362" t="s">
        <v>259</v>
      </c>
      <c r="BF41" s="362" t="s">
        <v>248</v>
      </c>
      <c r="BG41" s="362" t="s">
        <v>256</v>
      </c>
      <c r="BH41" s="362" t="s">
        <v>256</v>
      </c>
      <c r="BI41" s="362" t="s">
        <v>256</v>
      </c>
      <c r="BJ41" s="362" t="s">
        <v>256</v>
      </c>
      <c r="BK41" s="362" t="s">
        <v>256</v>
      </c>
      <c r="BL41" s="362" t="s">
        <v>256</v>
      </c>
      <c r="BM41" s="362" t="s">
        <v>259</v>
      </c>
      <c r="BN41" s="362" t="s">
        <v>256</v>
      </c>
      <c r="BO41" s="362" t="s">
        <v>259</v>
      </c>
      <c r="BP41" s="362" t="s">
        <v>284</v>
      </c>
      <c r="BQ41" s="362" t="s">
        <v>256</v>
      </c>
      <c r="BR41" s="362" t="s">
        <v>256</v>
      </c>
      <c r="BS41" s="362" t="s">
        <v>256</v>
      </c>
      <c r="BT41" s="362" t="s">
        <v>284</v>
      </c>
      <c r="BU41" s="362" t="s">
        <v>256</v>
      </c>
      <c r="BV41" s="362" t="s">
        <v>248</v>
      </c>
      <c r="BW41" s="362" t="s">
        <v>285</v>
      </c>
      <c r="BX41" s="362" t="s">
        <v>287</v>
      </c>
      <c r="BY41" s="362" t="s">
        <v>259</v>
      </c>
      <c r="BZ41" s="362" t="s">
        <v>259</v>
      </c>
      <c r="CA41" s="362">
        <v>1.8</v>
      </c>
      <c r="CB41" s="362">
        <v>0.69</v>
      </c>
      <c r="CC41" s="362">
        <v>299</v>
      </c>
      <c r="CD41" s="362">
        <v>0.2</v>
      </c>
      <c r="CE41" s="362">
        <v>0.69</v>
      </c>
      <c r="CF41" s="362">
        <v>5.0999999999999996</v>
      </c>
      <c r="CG41" s="362">
        <v>5</v>
      </c>
      <c r="CH41" s="362">
        <v>1110</v>
      </c>
      <c r="CI41" s="362">
        <v>77</v>
      </c>
      <c r="CJ41" s="362">
        <v>0.52</v>
      </c>
      <c r="CK41" s="362">
        <v>86.8</v>
      </c>
      <c r="CL41" s="362">
        <v>48</v>
      </c>
      <c r="CM41" s="362">
        <v>9.8000000000000004E-2</v>
      </c>
      <c r="CN41" s="362" t="s">
        <v>288</v>
      </c>
      <c r="CO41" s="362">
        <v>6.1</v>
      </c>
      <c r="CP41" s="362">
        <v>6.1</v>
      </c>
      <c r="CQ41" s="362" t="s">
        <v>254</v>
      </c>
      <c r="CR41" s="362" t="s">
        <v>254</v>
      </c>
      <c r="CS41" s="362">
        <v>6.7</v>
      </c>
      <c r="CT41" s="362">
        <v>17</v>
      </c>
      <c r="CU41" s="362" t="s">
        <v>153</v>
      </c>
      <c r="CV41" s="362">
        <v>380</v>
      </c>
      <c r="CW41" s="362">
        <v>3.5</v>
      </c>
      <c r="CX41" s="362" t="s">
        <v>258</v>
      </c>
      <c r="CY41" s="362">
        <v>0.13</v>
      </c>
      <c r="CZ41" s="362">
        <v>7.98</v>
      </c>
      <c r="DA41" s="362">
        <v>0.87</v>
      </c>
      <c r="DB41" s="362">
        <v>3500</v>
      </c>
      <c r="DC41" s="362">
        <v>840</v>
      </c>
      <c r="DD41" s="362">
        <v>22.5</v>
      </c>
      <c r="DE41" s="362">
        <v>2100</v>
      </c>
      <c r="DF41" s="362" t="s">
        <v>289</v>
      </c>
      <c r="DG41" s="362">
        <v>0.8</v>
      </c>
      <c r="DH41" s="362">
        <v>4.9000000000000004</v>
      </c>
      <c r="DI41" s="362">
        <v>600</v>
      </c>
      <c r="DJ41" s="362">
        <v>190</v>
      </c>
      <c r="DK41" s="362">
        <v>290</v>
      </c>
      <c r="DL41" s="362" t="s">
        <v>306</v>
      </c>
      <c r="DM41" s="362">
        <v>7.82</v>
      </c>
      <c r="DN41" s="362">
        <v>8.06</v>
      </c>
      <c r="DO41" s="362">
        <v>4177</v>
      </c>
      <c r="DP41" s="362">
        <v>19.399999999999999</v>
      </c>
      <c r="DQ41" s="362">
        <v>7.31</v>
      </c>
    </row>
    <row r="42" spans="1:121" hidden="1" x14ac:dyDescent="0.25">
      <c r="A42" s="362" t="s">
        <v>124</v>
      </c>
      <c r="B42" s="56" t="str">
        <f>VLOOKUP(Table3[[#This Row],[Station]], StationName, 2, FALSE)</f>
        <v>L03-418-8</v>
      </c>
      <c r="C42" s="362">
        <v>1721007</v>
      </c>
      <c r="D42" s="221">
        <v>44343.326388888891</v>
      </c>
      <c r="E42" s="362" t="s">
        <v>293</v>
      </c>
      <c r="F42" s="362" t="s">
        <v>294</v>
      </c>
      <c r="G42" s="362" t="s">
        <v>294</v>
      </c>
      <c r="H42" s="362" t="s">
        <v>294</v>
      </c>
      <c r="I42" s="362" t="s">
        <v>294</v>
      </c>
      <c r="J42" s="362" t="s">
        <v>294</v>
      </c>
      <c r="K42" s="362" t="s">
        <v>294</v>
      </c>
      <c r="L42" s="362" t="s">
        <v>294</v>
      </c>
      <c r="M42" s="362" t="s">
        <v>294</v>
      </c>
      <c r="N42" s="362" t="s">
        <v>294</v>
      </c>
      <c r="O42" s="362" t="s">
        <v>294</v>
      </c>
      <c r="P42" s="362" t="s">
        <v>294</v>
      </c>
      <c r="Q42" s="362" t="s">
        <v>294</v>
      </c>
      <c r="R42" s="362" t="s">
        <v>294</v>
      </c>
      <c r="S42" s="362" t="s">
        <v>294</v>
      </c>
      <c r="T42" s="362" t="s">
        <v>294</v>
      </c>
      <c r="U42" s="362" t="s">
        <v>294</v>
      </c>
      <c r="V42" s="362" t="s">
        <v>294</v>
      </c>
      <c r="W42" s="362" t="s">
        <v>294</v>
      </c>
      <c r="X42" s="362" t="s">
        <v>294</v>
      </c>
      <c r="Y42" s="362" t="s">
        <v>294</v>
      </c>
      <c r="Z42" s="362" t="s">
        <v>294</v>
      </c>
      <c r="AA42" s="362" t="s">
        <v>294</v>
      </c>
      <c r="AB42" s="362" t="s">
        <v>294</v>
      </c>
      <c r="AC42" s="362" t="s">
        <v>294</v>
      </c>
      <c r="AD42" s="362" t="s">
        <v>294</v>
      </c>
      <c r="AE42" s="362" t="s">
        <v>294</v>
      </c>
      <c r="AF42" s="362" t="s">
        <v>294</v>
      </c>
      <c r="AG42" s="362" t="s">
        <v>294</v>
      </c>
      <c r="AH42" s="362" t="s">
        <v>294</v>
      </c>
      <c r="AI42" s="362" t="s">
        <v>294</v>
      </c>
      <c r="AJ42" s="362" t="s">
        <v>294</v>
      </c>
      <c r="AK42" s="362" t="s">
        <v>294</v>
      </c>
      <c r="AL42" s="362" t="s">
        <v>294</v>
      </c>
      <c r="AM42" s="362" t="s">
        <v>294</v>
      </c>
      <c r="AN42" s="362" t="s">
        <v>294</v>
      </c>
      <c r="AO42" s="362" t="s">
        <v>294</v>
      </c>
      <c r="AP42" s="362" t="s">
        <v>294</v>
      </c>
      <c r="AQ42" s="362" t="s">
        <v>294</v>
      </c>
      <c r="AR42" s="362" t="s">
        <v>294</v>
      </c>
      <c r="AS42" s="362" t="s">
        <v>294</v>
      </c>
      <c r="AT42" s="362" t="s">
        <v>294</v>
      </c>
      <c r="AU42" s="362" t="s">
        <v>294</v>
      </c>
      <c r="AV42" s="362" t="s">
        <v>294</v>
      </c>
      <c r="AW42" s="362" t="s">
        <v>294</v>
      </c>
      <c r="AX42" s="362" t="s">
        <v>294</v>
      </c>
      <c r="AY42" s="362" t="s">
        <v>294</v>
      </c>
      <c r="AZ42" s="362" t="s">
        <v>294</v>
      </c>
      <c r="BA42" s="362" t="s">
        <v>294</v>
      </c>
      <c r="BB42" s="362" t="s">
        <v>294</v>
      </c>
      <c r="BC42" s="362" t="s">
        <v>294</v>
      </c>
      <c r="BD42" s="362" t="s">
        <v>294</v>
      </c>
      <c r="BE42" s="362" t="s">
        <v>294</v>
      </c>
      <c r="BF42" s="362" t="s">
        <v>294</v>
      </c>
      <c r="BG42" s="362" t="s">
        <v>294</v>
      </c>
      <c r="BH42" s="362" t="s">
        <v>294</v>
      </c>
      <c r="BI42" s="362" t="s">
        <v>294</v>
      </c>
      <c r="BJ42" s="362" t="s">
        <v>294</v>
      </c>
      <c r="BK42" s="362" t="s">
        <v>294</v>
      </c>
      <c r="BL42" s="362" t="s">
        <v>294</v>
      </c>
      <c r="BM42" s="362" t="s">
        <v>294</v>
      </c>
      <c r="BN42" s="362" t="s">
        <v>294</v>
      </c>
      <c r="BO42" s="362" t="s">
        <v>294</v>
      </c>
      <c r="BP42" s="362" t="s">
        <v>294</v>
      </c>
      <c r="BQ42" s="362" t="s">
        <v>294</v>
      </c>
      <c r="BR42" s="362" t="s">
        <v>294</v>
      </c>
      <c r="BS42" s="362" t="s">
        <v>294</v>
      </c>
      <c r="BT42" s="362" t="s">
        <v>294</v>
      </c>
      <c r="BU42" s="362" t="s">
        <v>294</v>
      </c>
      <c r="BV42" s="362" t="s">
        <v>294</v>
      </c>
      <c r="BW42" s="362" t="s">
        <v>294</v>
      </c>
      <c r="BX42" s="362" t="s">
        <v>294</v>
      </c>
      <c r="BY42" s="362" t="s">
        <v>294</v>
      </c>
      <c r="BZ42" s="362" t="s">
        <v>294</v>
      </c>
      <c r="CA42" s="362">
        <v>1.8</v>
      </c>
      <c r="CB42" s="362">
        <v>0.43</v>
      </c>
      <c r="CC42" s="362" t="s">
        <v>294</v>
      </c>
      <c r="CD42" s="362">
        <v>0.17</v>
      </c>
      <c r="CE42" s="362">
        <v>0.47</v>
      </c>
      <c r="CF42" s="362">
        <v>4.7</v>
      </c>
      <c r="CG42" s="362" t="s">
        <v>294</v>
      </c>
      <c r="CH42" s="362" t="s">
        <v>294</v>
      </c>
      <c r="CI42" s="362">
        <v>21</v>
      </c>
      <c r="CJ42" s="362" t="s">
        <v>254</v>
      </c>
      <c r="CK42" s="362" t="s">
        <v>294</v>
      </c>
      <c r="CL42" s="362">
        <v>12</v>
      </c>
      <c r="CM42" s="362" t="s">
        <v>294</v>
      </c>
      <c r="CN42" s="362" t="s">
        <v>288</v>
      </c>
      <c r="CO42" s="362">
        <v>5.9</v>
      </c>
      <c r="CP42" s="362">
        <v>6</v>
      </c>
      <c r="CQ42" s="362" t="s">
        <v>254</v>
      </c>
      <c r="CR42" s="362" t="s">
        <v>254</v>
      </c>
      <c r="CS42" s="362" t="s">
        <v>294</v>
      </c>
      <c r="CT42" s="362">
        <v>12</v>
      </c>
      <c r="CU42" s="362" t="s">
        <v>294</v>
      </c>
      <c r="CV42" s="362" t="s">
        <v>294</v>
      </c>
      <c r="CW42" s="362" t="s">
        <v>294</v>
      </c>
      <c r="CX42" s="362" t="s">
        <v>294</v>
      </c>
      <c r="CY42" s="362" t="s">
        <v>294</v>
      </c>
      <c r="CZ42" s="362" t="s">
        <v>294</v>
      </c>
      <c r="DA42" s="362" t="s">
        <v>294</v>
      </c>
      <c r="DB42" s="362" t="s">
        <v>294</v>
      </c>
      <c r="DC42" s="362" t="s">
        <v>294</v>
      </c>
      <c r="DD42" s="362" t="s">
        <v>294</v>
      </c>
      <c r="DE42" s="362" t="s">
        <v>294</v>
      </c>
      <c r="DF42" s="362" t="s">
        <v>294</v>
      </c>
      <c r="DG42" s="362" t="s">
        <v>294</v>
      </c>
      <c r="DH42" s="362" t="s">
        <v>294</v>
      </c>
      <c r="DI42" s="362" t="s">
        <v>294</v>
      </c>
      <c r="DJ42" s="362" t="s">
        <v>294</v>
      </c>
      <c r="DK42" s="362" t="s">
        <v>294</v>
      </c>
      <c r="DL42" s="362" t="s">
        <v>294</v>
      </c>
      <c r="DM42" s="362" t="s">
        <v>294</v>
      </c>
      <c r="DN42" s="362" t="s">
        <v>294</v>
      </c>
      <c r="DO42" s="362" t="s">
        <v>294</v>
      </c>
      <c r="DP42" s="362" t="s">
        <v>294</v>
      </c>
      <c r="DQ42" s="362" t="s">
        <v>294</v>
      </c>
    </row>
    <row r="43" spans="1:121" x14ac:dyDescent="0.25">
      <c r="A43" s="362" t="s">
        <v>335</v>
      </c>
      <c r="B43" s="56" t="str">
        <f>VLOOKUP(Table3[[#This Row],[Station]], StationName, 2, FALSE)</f>
        <v>K01-12156-4 (SCNK01)</v>
      </c>
      <c r="C43" s="362">
        <v>1721002</v>
      </c>
      <c r="D43" s="221">
        <v>44343.372916666667</v>
      </c>
      <c r="E43" s="362" t="s">
        <v>283</v>
      </c>
      <c r="F43" s="362">
        <v>59</v>
      </c>
      <c r="G43" s="362">
        <v>77</v>
      </c>
      <c r="H43" s="362">
        <v>88</v>
      </c>
      <c r="I43" s="362">
        <v>76</v>
      </c>
      <c r="J43" s="362">
        <v>48</v>
      </c>
      <c r="K43" s="362">
        <v>59</v>
      </c>
      <c r="L43" s="362">
        <v>64</v>
      </c>
      <c r="M43" s="362">
        <v>60</v>
      </c>
      <c r="N43" s="362">
        <v>50</v>
      </c>
      <c r="O43" s="362" t="s">
        <v>259</v>
      </c>
      <c r="P43" s="362" t="s">
        <v>259</v>
      </c>
      <c r="Q43" s="362" t="s">
        <v>259</v>
      </c>
      <c r="R43" s="362" t="s">
        <v>259</v>
      </c>
      <c r="S43" s="362" t="s">
        <v>259</v>
      </c>
      <c r="T43" s="362" t="s">
        <v>259</v>
      </c>
      <c r="U43" s="362" t="s">
        <v>256</v>
      </c>
      <c r="V43" s="362" t="s">
        <v>256</v>
      </c>
      <c r="W43" s="362" t="s">
        <v>256</v>
      </c>
      <c r="X43" s="362" t="s">
        <v>256</v>
      </c>
      <c r="Y43" s="362" t="s">
        <v>284</v>
      </c>
      <c r="Z43" s="362" t="s">
        <v>256</v>
      </c>
      <c r="AA43" s="362" t="s">
        <v>256</v>
      </c>
      <c r="AB43" s="362" t="s">
        <v>256</v>
      </c>
      <c r="AC43" s="362" t="s">
        <v>256</v>
      </c>
      <c r="AD43" s="362" t="s">
        <v>256</v>
      </c>
      <c r="AE43" s="362" t="s">
        <v>256</v>
      </c>
      <c r="AF43" s="362" t="s">
        <v>256</v>
      </c>
      <c r="AG43" s="362" t="s">
        <v>256</v>
      </c>
      <c r="AH43" s="362" t="s">
        <v>256</v>
      </c>
      <c r="AI43" s="362" t="s">
        <v>256</v>
      </c>
      <c r="AJ43" s="362" t="s">
        <v>248</v>
      </c>
      <c r="AK43" s="362" t="s">
        <v>259</v>
      </c>
      <c r="AL43" s="362" t="s">
        <v>259</v>
      </c>
      <c r="AM43" s="362" t="s">
        <v>251</v>
      </c>
      <c r="AN43" s="362" t="s">
        <v>256</v>
      </c>
      <c r="AO43" s="362" t="s">
        <v>259</v>
      </c>
      <c r="AP43" s="362" t="s">
        <v>251</v>
      </c>
      <c r="AQ43" s="362" t="s">
        <v>256</v>
      </c>
      <c r="AR43" s="362" t="s">
        <v>256</v>
      </c>
      <c r="AS43" s="362" t="s">
        <v>285</v>
      </c>
      <c r="AT43" s="362" t="s">
        <v>259</v>
      </c>
      <c r="AU43" s="362" t="s">
        <v>284</v>
      </c>
      <c r="AV43" s="362" t="s">
        <v>259</v>
      </c>
      <c r="AW43" s="362" t="s">
        <v>256</v>
      </c>
      <c r="AX43" s="362" t="s">
        <v>256</v>
      </c>
      <c r="AY43" s="362" t="s">
        <v>256</v>
      </c>
      <c r="AZ43" s="362" t="s">
        <v>256</v>
      </c>
      <c r="BA43" s="362" t="s">
        <v>256</v>
      </c>
      <c r="BB43" s="362" t="s">
        <v>259</v>
      </c>
      <c r="BC43" s="362" t="s">
        <v>286</v>
      </c>
      <c r="BD43" s="362" t="s">
        <v>248</v>
      </c>
      <c r="BE43" s="362" t="s">
        <v>259</v>
      </c>
      <c r="BF43" s="362" t="s">
        <v>248</v>
      </c>
      <c r="BG43" s="362" t="s">
        <v>256</v>
      </c>
      <c r="BH43" s="362" t="s">
        <v>256</v>
      </c>
      <c r="BI43" s="362" t="s">
        <v>256</v>
      </c>
      <c r="BJ43" s="362" t="s">
        <v>256</v>
      </c>
      <c r="BK43" s="362" t="s">
        <v>256</v>
      </c>
      <c r="BL43" s="362" t="s">
        <v>256</v>
      </c>
      <c r="BM43" s="362" t="s">
        <v>259</v>
      </c>
      <c r="BN43" s="362" t="s">
        <v>256</v>
      </c>
      <c r="BO43" s="362" t="s">
        <v>259</v>
      </c>
      <c r="BP43" s="362" t="s">
        <v>284</v>
      </c>
      <c r="BQ43" s="362" t="s">
        <v>256</v>
      </c>
      <c r="BR43" s="362" t="s">
        <v>256</v>
      </c>
      <c r="BS43" s="362" t="s">
        <v>256</v>
      </c>
      <c r="BT43" s="362" t="s">
        <v>284</v>
      </c>
      <c r="BU43" s="362" t="s">
        <v>256</v>
      </c>
      <c r="BV43" s="362" t="s">
        <v>248</v>
      </c>
      <c r="BW43" s="362" t="s">
        <v>285</v>
      </c>
      <c r="BX43" s="362" t="s">
        <v>287</v>
      </c>
      <c r="BY43" s="362" t="s">
        <v>259</v>
      </c>
      <c r="BZ43" s="362" t="s">
        <v>259</v>
      </c>
      <c r="CA43" s="362">
        <v>1.3</v>
      </c>
      <c r="CB43" s="362">
        <v>0.31</v>
      </c>
      <c r="CC43" s="362">
        <v>259</v>
      </c>
      <c r="CD43" s="362" t="s">
        <v>230</v>
      </c>
      <c r="CE43" s="362" t="s">
        <v>254</v>
      </c>
      <c r="CF43" s="362">
        <v>2.5</v>
      </c>
      <c r="CG43" s="362">
        <v>7.5</v>
      </c>
      <c r="CH43" s="362">
        <v>1280</v>
      </c>
      <c r="CI43" s="362">
        <v>67</v>
      </c>
      <c r="CJ43" s="362" t="s">
        <v>254</v>
      </c>
      <c r="CK43" s="362">
        <v>152</v>
      </c>
      <c r="CL43" s="362">
        <v>48</v>
      </c>
      <c r="CM43" s="362" t="s">
        <v>288</v>
      </c>
      <c r="CN43" s="362" t="s">
        <v>288</v>
      </c>
      <c r="CO43" s="362">
        <v>6.9</v>
      </c>
      <c r="CP43" s="362">
        <v>6</v>
      </c>
      <c r="CQ43" s="362" t="s">
        <v>254</v>
      </c>
      <c r="CR43" s="362" t="s">
        <v>254</v>
      </c>
      <c r="CS43" s="362">
        <v>11</v>
      </c>
      <c r="CT43" s="362" t="s">
        <v>284</v>
      </c>
      <c r="CU43" s="362">
        <v>0.15</v>
      </c>
      <c r="CV43" s="362">
        <v>780</v>
      </c>
      <c r="CW43" s="362">
        <v>2.1</v>
      </c>
      <c r="CX43" s="362">
        <v>1</v>
      </c>
      <c r="CY43" s="362">
        <v>0.2</v>
      </c>
      <c r="CZ43" s="362">
        <v>7.7</v>
      </c>
      <c r="DA43" s="362">
        <v>1</v>
      </c>
      <c r="DB43" s="362">
        <v>5900</v>
      </c>
      <c r="DC43" s="362">
        <v>1600</v>
      </c>
      <c r="DD43" s="362">
        <v>22.4</v>
      </c>
      <c r="DE43" s="362">
        <v>3700</v>
      </c>
      <c r="DF43" s="362" t="s">
        <v>289</v>
      </c>
      <c r="DG43" s="362">
        <v>0.6</v>
      </c>
      <c r="DH43" s="362">
        <v>0.63</v>
      </c>
      <c r="DI43" s="362">
        <v>770</v>
      </c>
      <c r="DJ43" s="362">
        <v>50</v>
      </c>
      <c r="DK43" s="362">
        <v>30</v>
      </c>
      <c r="DL43" s="362" t="s">
        <v>336</v>
      </c>
      <c r="DM43" s="362">
        <v>8.01</v>
      </c>
      <c r="DN43" s="362">
        <v>7.73</v>
      </c>
      <c r="DO43" s="362">
        <v>7391</v>
      </c>
      <c r="DP43" s="362">
        <v>18.8</v>
      </c>
      <c r="DQ43" s="362" t="s">
        <v>294</v>
      </c>
    </row>
    <row r="44" spans="1:121" hidden="1" x14ac:dyDescent="0.25">
      <c r="A44" s="362" t="s">
        <v>335</v>
      </c>
      <c r="B44" s="56" t="str">
        <f>VLOOKUP(Table3[[#This Row],[Station]], StationName, 2, FALSE)</f>
        <v>K01-12156-4 (SCNK01)</v>
      </c>
      <c r="C44" s="362">
        <v>1721008</v>
      </c>
      <c r="D44" s="221">
        <v>44343.372916666667</v>
      </c>
      <c r="E44" s="362" t="s">
        <v>293</v>
      </c>
      <c r="F44" s="362" t="s">
        <v>294</v>
      </c>
      <c r="G44" s="362" t="s">
        <v>294</v>
      </c>
      <c r="H44" s="362" t="s">
        <v>294</v>
      </c>
      <c r="I44" s="362" t="s">
        <v>294</v>
      </c>
      <c r="J44" s="362" t="s">
        <v>294</v>
      </c>
      <c r="K44" s="362" t="s">
        <v>294</v>
      </c>
      <c r="L44" s="362" t="s">
        <v>294</v>
      </c>
      <c r="M44" s="362" t="s">
        <v>294</v>
      </c>
      <c r="N44" s="362" t="s">
        <v>294</v>
      </c>
      <c r="O44" s="362" t="s">
        <v>294</v>
      </c>
      <c r="P44" s="362" t="s">
        <v>294</v>
      </c>
      <c r="Q44" s="362" t="s">
        <v>294</v>
      </c>
      <c r="R44" s="362" t="s">
        <v>294</v>
      </c>
      <c r="S44" s="362" t="s">
        <v>294</v>
      </c>
      <c r="T44" s="362" t="s">
        <v>294</v>
      </c>
      <c r="U44" s="362" t="s">
        <v>294</v>
      </c>
      <c r="V44" s="362" t="s">
        <v>294</v>
      </c>
      <c r="W44" s="362" t="s">
        <v>294</v>
      </c>
      <c r="X44" s="362" t="s">
        <v>294</v>
      </c>
      <c r="Y44" s="362" t="s">
        <v>294</v>
      </c>
      <c r="Z44" s="362" t="s">
        <v>294</v>
      </c>
      <c r="AA44" s="362" t="s">
        <v>294</v>
      </c>
      <c r="AB44" s="362" t="s">
        <v>294</v>
      </c>
      <c r="AC44" s="362" t="s">
        <v>294</v>
      </c>
      <c r="AD44" s="362" t="s">
        <v>294</v>
      </c>
      <c r="AE44" s="362" t="s">
        <v>294</v>
      </c>
      <c r="AF44" s="362" t="s">
        <v>294</v>
      </c>
      <c r="AG44" s="362" t="s">
        <v>294</v>
      </c>
      <c r="AH44" s="362" t="s">
        <v>294</v>
      </c>
      <c r="AI44" s="362" t="s">
        <v>294</v>
      </c>
      <c r="AJ44" s="362" t="s">
        <v>294</v>
      </c>
      <c r="AK44" s="362" t="s">
        <v>294</v>
      </c>
      <c r="AL44" s="362" t="s">
        <v>294</v>
      </c>
      <c r="AM44" s="362" t="s">
        <v>294</v>
      </c>
      <c r="AN44" s="362" t="s">
        <v>294</v>
      </c>
      <c r="AO44" s="362" t="s">
        <v>294</v>
      </c>
      <c r="AP44" s="362" t="s">
        <v>294</v>
      </c>
      <c r="AQ44" s="362" t="s">
        <v>294</v>
      </c>
      <c r="AR44" s="362" t="s">
        <v>294</v>
      </c>
      <c r="AS44" s="362" t="s">
        <v>294</v>
      </c>
      <c r="AT44" s="362" t="s">
        <v>294</v>
      </c>
      <c r="AU44" s="362" t="s">
        <v>294</v>
      </c>
      <c r="AV44" s="362" t="s">
        <v>294</v>
      </c>
      <c r="AW44" s="362" t="s">
        <v>294</v>
      </c>
      <c r="AX44" s="362" t="s">
        <v>294</v>
      </c>
      <c r="AY44" s="362" t="s">
        <v>294</v>
      </c>
      <c r="AZ44" s="362" t="s">
        <v>294</v>
      </c>
      <c r="BA44" s="362" t="s">
        <v>294</v>
      </c>
      <c r="BB44" s="362" t="s">
        <v>294</v>
      </c>
      <c r="BC44" s="362" t="s">
        <v>294</v>
      </c>
      <c r="BD44" s="362" t="s">
        <v>294</v>
      </c>
      <c r="BE44" s="362" t="s">
        <v>294</v>
      </c>
      <c r="BF44" s="362" t="s">
        <v>294</v>
      </c>
      <c r="BG44" s="362" t="s">
        <v>294</v>
      </c>
      <c r="BH44" s="362" t="s">
        <v>294</v>
      </c>
      <c r="BI44" s="362" t="s">
        <v>294</v>
      </c>
      <c r="BJ44" s="362" t="s">
        <v>294</v>
      </c>
      <c r="BK44" s="362" t="s">
        <v>294</v>
      </c>
      <c r="BL44" s="362" t="s">
        <v>294</v>
      </c>
      <c r="BM44" s="362" t="s">
        <v>294</v>
      </c>
      <c r="BN44" s="362" t="s">
        <v>294</v>
      </c>
      <c r="BO44" s="362" t="s">
        <v>294</v>
      </c>
      <c r="BP44" s="362" t="s">
        <v>294</v>
      </c>
      <c r="BQ44" s="362" t="s">
        <v>294</v>
      </c>
      <c r="BR44" s="362" t="s">
        <v>294</v>
      </c>
      <c r="BS44" s="362" t="s">
        <v>294</v>
      </c>
      <c r="BT44" s="362" t="s">
        <v>294</v>
      </c>
      <c r="BU44" s="362" t="s">
        <v>294</v>
      </c>
      <c r="BV44" s="362" t="s">
        <v>294</v>
      </c>
      <c r="BW44" s="362" t="s">
        <v>294</v>
      </c>
      <c r="BX44" s="362" t="s">
        <v>294</v>
      </c>
      <c r="BY44" s="362" t="s">
        <v>294</v>
      </c>
      <c r="BZ44" s="362" t="s">
        <v>294</v>
      </c>
      <c r="CA44" s="362">
        <v>1.4</v>
      </c>
      <c r="CB44" s="362">
        <v>0.27</v>
      </c>
      <c r="CC44" s="362" t="s">
        <v>294</v>
      </c>
      <c r="CD44" s="362" t="s">
        <v>230</v>
      </c>
      <c r="CE44" s="362" t="s">
        <v>254</v>
      </c>
      <c r="CF44" s="362">
        <v>2.7</v>
      </c>
      <c r="CG44" s="362" t="s">
        <v>294</v>
      </c>
      <c r="CH44" s="362" t="s">
        <v>294</v>
      </c>
      <c r="CI44" s="362">
        <v>28</v>
      </c>
      <c r="CJ44" s="362" t="s">
        <v>254</v>
      </c>
      <c r="CK44" s="362" t="s">
        <v>294</v>
      </c>
      <c r="CL44" s="362">
        <v>41</v>
      </c>
      <c r="CM44" s="362" t="s">
        <v>294</v>
      </c>
      <c r="CN44" s="362" t="s">
        <v>288</v>
      </c>
      <c r="CO44" s="362">
        <v>7</v>
      </c>
      <c r="CP44" s="362">
        <v>5.9</v>
      </c>
      <c r="CQ44" s="362" t="s">
        <v>254</v>
      </c>
      <c r="CR44" s="362" t="s">
        <v>254</v>
      </c>
      <c r="CS44" s="362" t="s">
        <v>294</v>
      </c>
      <c r="CT44" s="362" t="s">
        <v>284</v>
      </c>
      <c r="CU44" s="362" t="s">
        <v>294</v>
      </c>
      <c r="CV44" s="362" t="s">
        <v>294</v>
      </c>
      <c r="CW44" s="362" t="s">
        <v>294</v>
      </c>
      <c r="CX44" s="362" t="s">
        <v>294</v>
      </c>
      <c r="CY44" s="362" t="s">
        <v>294</v>
      </c>
      <c r="CZ44" s="362" t="s">
        <v>294</v>
      </c>
      <c r="DA44" s="362" t="s">
        <v>294</v>
      </c>
      <c r="DB44" s="362" t="s">
        <v>294</v>
      </c>
      <c r="DC44" s="362" t="s">
        <v>294</v>
      </c>
      <c r="DD44" s="362" t="s">
        <v>294</v>
      </c>
      <c r="DE44" s="362" t="s">
        <v>294</v>
      </c>
      <c r="DF44" s="362" t="s">
        <v>294</v>
      </c>
      <c r="DG44" s="362" t="s">
        <v>294</v>
      </c>
      <c r="DH44" s="362" t="s">
        <v>294</v>
      </c>
      <c r="DI44" s="362" t="s">
        <v>294</v>
      </c>
      <c r="DJ44" s="362" t="s">
        <v>294</v>
      </c>
      <c r="DK44" s="362" t="s">
        <v>294</v>
      </c>
      <c r="DL44" s="362" t="s">
        <v>294</v>
      </c>
      <c r="DM44" s="362" t="s">
        <v>294</v>
      </c>
      <c r="DN44" s="362" t="s">
        <v>294</v>
      </c>
      <c r="DO44" s="362" t="s">
        <v>294</v>
      </c>
      <c r="DP44" s="362" t="s">
        <v>294</v>
      </c>
      <c r="DQ44" s="362" t="s">
        <v>294</v>
      </c>
    </row>
    <row r="45" spans="1:121" x14ac:dyDescent="0.25">
      <c r="A45" s="362" t="s">
        <v>137</v>
      </c>
      <c r="B45" s="56" t="str">
        <f>VLOOKUP(Table3[[#This Row],[Station]], StationName, 2, FALSE)</f>
        <v>J01-9046-1</v>
      </c>
      <c r="C45" s="362">
        <v>1722001</v>
      </c>
      <c r="D45" s="221">
        <v>44343.381944444445</v>
      </c>
      <c r="E45" s="362" t="s">
        <v>283</v>
      </c>
      <c r="F45" s="362">
        <v>67</v>
      </c>
      <c r="G45" s="362">
        <v>92</v>
      </c>
      <c r="H45" s="362">
        <v>106</v>
      </c>
      <c r="I45" s="362">
        <v>90</v>
      </c>
      <c r="J45" s="362">
        <v>53</v>
      </c>
      <c r="K45" s="362">
        <v>71</v>
      </c>
      <c r="L45" s="362">
        <v>81</v>
      </c>
      <c r="M45" s="362">
        <v>81</v>
      </c>
      <c r="N45" s="362">
        <v>59</v>
      </c>
      <c r="O45" s="362" t="s">
        <v>259</v>
      </c>
      <c r="P45" s="362" t="s">
        <v>259</v>
      </c>
      <c r="Q45" s="362" t="s">
        <v>259</v>
      </c>
      <c r="R45" s="362" t="s">
        <v>259</v>
      </c>
      <c r="S45" s="362" t="s">
        <v>259</v>
      </c>
      <c r="T45" s="362" t="s">
        <v>259</v>
      </c>
      <c r="U45" s="362" t="s">
        <v>256</v>
      </c>
      <c r="V45" s="362" t="s">
        <v>256</v>
      </c>
      <c r="W45" s="362" t="s">
        <v>256</v>
      </c>
      <c r="X45" s="362" t="s">
        <v>256</v>
      </c>
      <c r="Y45" s="362" t="s">
        <v>284</v>
      </c>
      <c r="Z45" s="362" t="s">
        <v>256</v>
      </c>
      <c r="AA45" s="362" t="s">
        <v>256</v>
      </c>
      <c r="AB45" s="362" t="s">
        <v>256</v>
      </c>
      <c r="AC45" s="362">
        <v>3.79</v>
      </c>
      <c r="AD45" s="362" t="s">
        <v>256</v>
      </c>
      <c r="AE45" s="362" t="s">
        <v>256</v>
      </c>
      <c r="AF45" s="362" t="s">
        <v>256</v>
      </c>
      <c r="AG45" s="362" t="s">
        <v>256</v>
      </c>
      <c r="AH45" s="362" t="s">
        <v>256</v>
      </c>
      <c r="AI45" s="362" t="s">
        <v>256</v>
      </c>
      <c r="AJ45" s="362" t="s">
        <v>248</v>
      </c>
      <c r="AK45" s="362" t="s">
        <v>259</v>
      </c>
      <c r="AL45" s="362" t="s">
        <v>259</v>
      </c>
      <c r="AM45" s="362" t="s">
        <v>251</v>
      </c>
      <c r="AN45" s="362">
        <v>2.44</v>
      </c>
      <c r="AO45" s="362" t="s">
        <v>259</v>
      </c>
      <c r="AP45" s="362" t="s">
        <v>251</v>
      </c>
      <c r="AQ45" s="362" t="s">
        <v>256</v>
      </c>
      <c r="AR45" s="362" t="s">
        <v>256</v>
      </c>
      <c r="AS45" s="362" t="s">
        <v>285</v>
      </c>
      <c r="AT45" s="362" t="s">
        <v>259</v>
      </c>
      <c r="AU45" s="362" t="s">
        <v>284</v>
      </c>
      <c r="AV45" s="362" t="s">
        <v>259</v>
      </c>
      <c r="AW45" s="362" t="s">
        <v>256</v>
      </c>
      <c r="AX45" s="362" t="s">
        <v>256</v>
      </c>
      <c r="AY45" s="362" t="s">
        <v>256</v>
      </c>
      <c r="AZ45" s="362" t="s">
        <v>256</v>
      </c>
      <c r="BA45" s="362" t="s">
        <v>256</v>
      </c>
      <c r="BB45" s="362" t="s">
        <v>259</v>
      </c>
      <c r="BC45" s="362" t="s">
        <v>286</v>
      </c>
      <c r="BD45" s="362" t="s">
        <v>248</v>
      </c>
      <c r="BE45" s="362" t="s">
        <v>259</v>
      </c>
      <c r="BF45" s="362" t="s">
        <v>248</v>
      </c>
      <c r="BG45" s="362">
        <v>4.09</v>
      </c>
      <c r="BH45" s="362" t="s">
        <v>256</v>
      </c>
      <c r="BI45" s="362" t="s">
        <v>256</v>
      </c>
      <c r="BJ45" s="362" t="s">
        <v>256</v>
      </c>
      <c r="BK45" s="362" t="s">
        <v>256</v>
      </c>
      <c r="BL45" s="362" t="s">
        <v>256</v>
      </c>
      <c r="BM45" s="362" t="s">
        <v>259</v>
      </c>
      <c r="BN45" s="362" t="s">
        <v>256</v>
      </c>
      <c r="BO45" s="362" t="s">
        <v>259</v>
      </c>
      <c r="BP45" s="362" t="s">
        <v>284</v>
      </c>
      <c r="BQ45" s="362" t="s">
        <v>256</v>
      </c>
      <c r="BR45" s="362" t="s">
        <v>256</v>
      </c>
      <c r="BS45" s="362" t="s">
        <v>256</v>
      </c>
      <c r="BT45" s="362" t="s">
        <v>284</v>
      </c>
      <c r="BU45" s="362">
        <v>6.62</v>
      </c>
      <c r="BV45" s="362" t="s">
        <v>248</v>
      </c>
      <c r="BW45" s="362" t="s">
        <v>285</v>
      </c>
      <c r="BX45" s="362" t="s">
        <v>287</v>
      </c>
      <c r="BY45" s="362" t="s">
        <v>259</v>
      </c>
      <c r="BZ45" s="362" t="s">
        <v>259</v>
      </c>
      <c r="CA45" s="362">
        <v>1.9</v>
      </c>
      <c r="CB45" s="362" t="s">
        <v>254</v>
      </c>
      <c r="CC45" s="362">
        <v>72.5</v>
      </c>
      <c r="CD45" s="362">
        <v>8.3000000000000004E-2</v>
      </c>
      <c r="CE45" s="362">
        <v>1.4</v>
      </c>
      <c r="CF45" s="362">
        <v>4.3</v>
      </c>
      <c r="CG45" s="362">
        <v>4.9000000000000004</v>
      </c>
      <c r="CH45" s="362">
        <v>290</v>
      </c>
      <c r="CI45" s="362">
        <v>950</v>
      </c>
      <c r="CJ45" s="362">
        <v>0.64</v>
      </c>
      <c r="CK45" s="362">
        <v>26.5</v>
      </c>
      <c r="CL45" s="362">
        <v>22</v>
      </c>
      <c r="CM45" s="362" t="s">
        <v>288</v>
      </c>
      <c r="CN45" s="362" t="s">
        <v>288</v>
      </c>
      <c r="CO45" s="362" t="s">
        <v>259</v>
      </c>
      <c r="CP45" s="362">
        <v>1.6</v>
      </c>
      <c r="CQ45" s="362" t="s">
        <v>254</v>
      </c>
      <c r="CR45" s="362" t="s">
        <v>254</v>
      </c>
      <c r="CS45" s="362">
        <v>5</v>
      </c>
      <c r="CT45" s="362">
        <v>17</v>
      </c>
      <c r="CU45" s="362">
        <v>0.67</v>
      </c>
      <c r="CV45" s="362">
        <v>120</v>
      </c>
      <c r="CW45" s="362">
        <v>0.91</v>
      </c>
      <c r="CX45" s="362">
        <v>1.2</v>
      </c>
      <c r="CY45" s="362">
        <v>0.17</v>
      </c>
      <c r="CZ45" s="362">
        <v>8.16</v>
      </c>
      <c r="DA45" s="362">
        <v>0.83</v>
      </c>
      <c r="DB45" s="362">
        <v>1300</v>
      </c>
      <c r="DC45" s="362">
        <v>230</v>
      </c>
      <c r="DD45" s="362">
        <v>22.4</v>
      </c>
      <c r="DE45" s="362">
        <v>630</v>
      </c>
      <c r="DF45" s="362" t="s">
        <v>284</v>
      </c>
      <c r="DG45" s="362">
        <v>40</v>
      </c>
      <c r="DH45" s="362">
        <v>15</v>
      </c>
      <c r="DI45" s="362">
        <v>3500</v>
      </c>
      <c r="DJ45" s="362">
        <v>20</v>
      </c>
      <c r="DK45" s="362">
        <v>20</v>
      </c>
      <c r="DL45" s="362" t="s">
        <v>337</v>
      </c>
      <c r="DM45" s="362">
        <v>8.85</v>
      </c>
      <c r="DN45" s="362">
        <v>8.1999999999999993</v>
      </c>
      <c r="DO45" s="362">
        <v>1038.0999999999999</v>
      </c>
      <c r="DP45" s="362">
        <v>18.98</v>
      </c>
      <c r="DQ45" s="362">
        <v>18.7</v>
      </c>
    </row>
    <row r="46" spans="1:121" hidden="1" x14ac:dyDescent="0.25">
      <c r="A46" s="362" t="s">
        <v>137</v>
      </c>
      <c r="B46" s="56" t="str">
        <f>VLOOKUP(Table3[[#This Row],[Station]], StationName, 2, FALSE)</f>
        <v>J01-9046-1</v>
      </c>
      <c r="C46" s="362">
        <v>1722006</v>
      </c>
      <c r="D46" s="221">
        <v>44343.381944444445</v>
      </c>
      <c r="E46" s="362" t="s">
        <v>293</v>
      </c>
      <c r="F46" s="362" t="s">
        <v>294</v>
      </c>
      <c r="G46" s="362" t="s">
        <v>294</v>
      </c>
      <c r="H46" s="362" t="s">
        <v>294</v>
      </c>
      <c r="I46" s="362" t="s">
        <v>294</v>
      </c>
      <c r="J46" s="362" t="s">
        <v>294</v>
      </c>
      <c r="K46" s="362" t="s">
        <v>294</v>
      </c>
      <c r="L46" s="362" t="s">
        <v>294</v>
      </c>
      <c r="M46" s="362" t="s">
        <v>294</v>
      </c>
      <c r="N46" s="362" t="s">
        <v>294</v>
      </c>
      <c r="O46" s="362" t="s">
        <v>294</v>
      </c>
      <c r="P46" s="362" t="s">
        <v>294</v>
      </c>
      <c r="Q46" s="362" t="s">
        <v>294</v>
      </c>
      <c r="R46" s="362" t="s">
        <v>294</v>
      </c>
      <c r="S46" s="362" t="s">
        <v>294</v>
      </c>
      <c r="T46" s="362" t="s">
        <v>294</v>
      </c>
      <c r="U46" s="362" t="s">
        <v>294</v>
      </c>
      <c r="V46" s="362" t="s">
        <v>294</v>
      </c>
      <c r="W46" s="362" t="s">
        <v>294</v>
      </c>
      <c r="X46" s="362" t="s">
        <v>294</v>
      </c>
      <c r="Y46" s="362" t="s">
        <v>294</v>
      </c>
      <c r="Z46" s="362" t="s">
        <v>294</v>
      </c>
      <c r="AA46" s="362" t="s">
        <v>294</v>
      </c>
      <c r="AB46" s="362" t="s">
        <v>294</v>
      </c>
      <c r="AC46" s="362" t="s">
        <v>294</v>
      </c>
      <c r="AD46" s="362" t="s">
        <v>294</v>
      </c>
      <c r="AE46" s="362" t="s">
        <v>294</v>
      </c>
      <c r="AF46" s="362" t="s">
        <v>294</v>
      </c>
      <c r="AG46" s="362" t="s">
        <v>294</v>
      </c>
      <c r="AH46" s="362" t="s">
        <v>294</v>
      </c>
      <c r="AI46" s="362" t="s">
        <v>294</v>
      </c>
      <c r="AJ46" s="362" t="s">
        <v>294</v>
      </c>
      <c r="AK46" s="362" t="s">
        <v>294</v>
      </c>
      <c r="AL46" s="362" t="s">
        <v>294</v>
      </c>
      <c r="AM46" s="362" t="s">
        <v>294</v>
      </c>
      <c r="AN46" s="362" t="s">
        <v>294</v>
      </c>
      <c r="AO46" s="362" t="s">
        <v>294</v>
      </c>
      <c r="AP46" s="362" t="s">
        <v>294</v>
      </c>
      <c r="AQ46" s="362" t="s">
        <v>294</v>
      </c>
      <c r="AR46" s="362" t="s">
        <v>294</v>
      </c>
      <c r="AS46" s="362" t="s">
        <v>294</v>
      </c>
      <c r="AT46" s="362" t="s">
        <v>294</v>
      </c>
      <c r="AU46" s="362" t="s">
        <v>294</v>
      </c>
      <c r="AV46" s="362" t="s">
        <v>294</v>
      </c>
      <c r="AW46" s="362" t="s">
        <v>294</v>
      </c>
      <c r="AX46" s="362" t="s">
        <v>294</v>
      </c>
      <c r="AY46" s="362" t="s">
        <v>294</v>
      </c>
      <c r="AZ46" s="362" t="s">
        <v>294</v>
      </c>
      <c r="BA46" s="362" t="s">
        <v>294</v>
      </c>
      <c r="BB46" s="362" t="s">
        <v>294</v>
      </c>
      <c r="BC46" s="362" t="s">
        <v>294</v>
      </c>
      <c r="BD46" s="362" t="s">
        <v>294</v>
      </c>
      <c r="BE46" s="362" t="s">
        <v>294</v>
      </c>
      <c r="BF46" s="362" t="s">
        <v>294</v>
      </c>
      <c r="BG46" s="362" t="s">
        <v>294</v>
      </c>
      <c r="BH46" s="362" t="s">
        <v>294</v>
      </c>
      <c r="BI46" s="362" t="s">
        <v>294</v>
      </c>
      <c r="BJ46" s="362" t="s">
        <v>294</v>
      </c>
      <c r="BK46" s="362" t="s">
        <v>294</v>
      </c>
      <c r="BL46" s="362" t="s">
        <v>294</v>
      </c>
      <c r="BM46" s="362" t="s">
        <v>294</v>
      </c>
      <c r="BN46" s="362" t="s">
        <v>294</v>
      </c>
      <c r="BO46" s="362" t="s">
        <v>294</v>
      </c>
      <c r="BP46" s="362" t="s">
        <v>294</v>
      </c>
      <c r="BQ46" s="362" t="s">
        <v>294</v>
      </c>
      <c r="BR46" s="362" t="s">
        <v>294</v>
      </c>
      <c r="BS46" s="362" t="s">
        <v>294</v>
      </c>
      <c r="BT46" s="362" t="s">
        <v>294</v>
      </c>
      <c r="BU46" s="362" t="s">
        <v>294</v>
      </c>
      <c r="BV46" s="362" t="s">
        <v>294</v>
      </c>
      <c r="BW46" s="362" t="s">
        <v>294</v>
      </c>
      <c r="BX46" s="362" t="s">
        <v>294</v>
      </c>
      <c r="BY46" s="362" t="s">
        <v>294</v>
      </c>
      <c r="BZ46" s="362" t="s">
        <v>294</v>
      </c>
      <c r="CA46" s="362">
        <v>1.7</v>
      </c>
      <c r="CB46" s="362" t="s">
        <v>254</v>
      </c>
      <c r="CC46" s="362" t="s">
        <v>294</v>
      </c>
      <c r="CD46" s="362">
        <v>9.4E-2</v>
      </c>
      <c r="CE46" s="362" t="s">
        <v>254</v>
      </c>
      <c r="CF46" s="362">
        <v>2.7</v>
      </c>
      <c r="CG46" s="362" t="s">
        <v>294</v>
      </c>
      <c r="CH46" s="362" t="s">
        <v>294</v>
      </c>
      <c r="CI46" s="362" t="s">
        <v>286</v>
      </c>
      <c r="CJ46" s="362" t="s">
        <v>254</v>
      </c>
      <c r="CK46" s="362" t="s">
        <v>294</v>
      </c>
      <c r="CL46" s="362">
        <v>6.7</v>
      </c>
      <c r="CM46" s="362" t="s">
        <v>294</v>
      </c>
      <c r="CN46" s="362" t="s">
        <v>288</v>
      </c>
      <c r="CO46" s="362" t="s">
        <v>259</v>
      </c>
      <c r="CP46" s="362">
        <v>1.7</v>
      </c>
      <c r="CQ46" s="362" t="s">
        <v>254</v>
      </c>
      <c r="CR46" s="362" t="s">
        <v>254</v>
      </c>
      <c r="CS46" s="362" t="s">
        <v>294</v>
      </c>
      <c r="CT46" s="362" t="s">
        <v>284</v>
      </c>
      <c r="CU46" s="362" t="s">
        <v>294</v>
      </c>
      <c r="CV46" s="362" t="s">
        <v>294</v>
      </c>
      <c r="CW46" s="362" t="s">
        <v>294</v>
      </c>
      <c r="CX46" s="362" t="s">
        <v>294</v>
      </c>
      <c r="CY46" s="362" t="s">
        <v>294</v>
      </c>
      <c r="CZ46" s="362" t="s">
        <v>294</v>
      </c>
      <c r="DA46" s="362" t="s">
        <v>294</v>
      </c>
      <c r="DB46" s="362" t="s">
        <v>294</v>
      </c>
      <c r="DC46" s="362" t="s">
        <v>294</v>
      </c>
      <c r="DD46" s="362" t="s">
        <v>294</v>
      </c>
      <c r="DE46" s="362" t="s">
        <v>294</v>
      </c>
      <c r="DF46" s="362" t="s">
        <v>294</v>
      </c>
      <c r="DG46" s="362" t="s">
        <v>294</v>
      </c>
      <c r="DH46" s="362" t="s">
        <v>294</v>
      </c>
      <c r="DI46" s="362" t="s">
        <v>294</v>
      </c>
      <c r="DJ46" s="362" t="s">
        <v>294</v>
      </c>
      <c r="DK46" s="362" t="s">
        <v>294</v>
      </c>
      <c r="DL46" s="362" t="s">
        <v>294</v>
      </c>
      <c r="DM46" s="362" t="s">
        <v>294</v>
      </c>
      <c r="DN46" s="362" t="s">
        <v>294</v>
      </c>
      <c r="DO46" s="362" t="s">
        <v>294</v>
      </c>
      <c r="DP46" s="362" t="s">
        <v>294</v>
      </c>
      <c r="DQ46" s="362" t="s">
        <v>294</v>
      </c>
    </row>
    <row r="47" spans="1:121" x14ac:dyDescent="0.25">
      <c r="A47" s="362" t="s">
        <v>338</v>
      </c>
      <c r="B47" s="56" t="str">
        <f>VLOOKUP(Table3[[#This Row],[Station]], StationName, 2, FALSE)</f>
        <v>K01-12177-1 (K01P07)</v>
      </c>
      <c r="C47" s="362">
        <v>1721003</v>
      </c>
      <c r="D47" s="221">
        <v>44343.399305555555</v>
      </c>
      <c r="E47" s="362" t="s">
        <v>283</v>
      </c>
      <c r="F47" s="362">
        <v>70</v>
      </c>
      <c r="G47" s="362">
        <v>90</v>
      </c>
      <c r="H47" s="362">
        <v>100</v>
      </c>
      <c r="I47" s="362">
        <v>92</v>
      </c>
      <c r="J47" s="362">
        <v>57</v>
      </c>
      <c r="K47" s="362">
        <v>71</v>
      </c>
      <c r="L47" s="362">
        <v>81</v>
      </c>
      <c r="M47" s="362">
        <v>87</v>
      </c>
      <c r="N47" s="362">
        <v>58</v>
      </c>
      <c r="O47" s="362" t="s">
        <v>259</v>
      </c>
      <c r="P47" s="362" t="s">
        <v>259</v>
      </c>
      <c r="Q47" s="362" t="s">
        <v>259</v>
      </c>
      <c r="R47" s="362" t="s">
        <v>259</v>
      </c>
      <c r="S47" s="362" t="s">
        <v>259</v>
      </c>
      <c r="T47" s="362" t="s">
        <v>259</v>
      </c>
      <c r="U47" s="362" t="s">
        <v>256</v>
      </c>
      <c r="V47" s="362" t="s">
        <v>256</v>
      </c>
      <c r="W47" s="362" t="s">
        <v>256</v>
      </c>
      <c r="X47" s="362" t="s">
        <v>256</v>
      </c>
      <c r="Y47" s="362" t="s">
        <v>284</v>
      </c>
      <c r="Z47" s="362" t="s">
        <v>256</v>
      </c>
      <c r="AA47" s="362" t="s">
        <v>256</v>
      </c>
      <c r="AB47" s="362" t="s">
        <v>256</v>
      </c>
      <c r="AC47" s="362" t="s">
        <v>256</v>
      </c>
      <c r="AD47" s="362" t="s">
        <v>256</v>
      </c>
      <c r="AE47" s="362" t="s">
        <v>256</v>
      </c>
      <c r="AF47" s="362" t="s">
        <v>256</v>
      </c>
      <c r="AG47" s="362" t="s">
        <v>256</v>
      </c>
      <c r="AH47" s="362" t="s">
        <v>256</v>
      </c>
      <c r="AI47" s="362" t="s">
        <v>256</v>
      </c>
      <c r="AJ47" s="362" t="s">
        <v>248</v>
      </c>
      <c r="AK47" s="362" t="s">
        <v>259</v>
      </c>
      <c r="AL47" s="362" t="s">
        <v>259</v>
      </c>
      <c r="AM47" s="362" t="s">
        <v>251</v>
      </c>
      <c r="AN47" s="362" t="s">
        <v>256</v>
      </c>
      <c r="AO47" s="362" t="s">
        <v>259</v>
      </c>
      <c r="AP47" s="362" t="s">
        <v>251</v>
      </c>
      <c r="AQ47" s="362" t="s">
        <v>256</v>
      </c>
      <c r="AR47" s="362" t="s">
        <v>256</v>
      </c>
      <c r="AS47" s="362" t="s">
        <v>285</v>
      </c>
      <c r="AT47" s="362" t="s">
        <v>259</v>
      </c>
      <c r="AU47" s="362" t="s">
        <v>284</v>
      </c>
      <c r="AV47" s="362" t="s">
        <v>259</v>
      </c>
      <c r="AW47" s="362" t="s">
        <v>256</v>
      </c>
      <c r="AX47" s="362" t="s">
        <v>256</v>
      </c>
      <c r="AY47" s="362" t="s">
        <v>256</v>
      </c>
      <c r="AZ47" s="362" t="s">
        <v>256</v>
      </c>
      <c r="BA47" s="362" t="s">
        <v>256</v>
      </c>
      <c r="BB47" s="362" t="s">
        <v>259</v>
      </c>
      <c r="BC47" s="362" t="s">
        <v>286</v>
      </c>
      <c r="BD47" s="362" t="s">
        <v>248</v>
      </c>
      <c r="BE47" s="362" t="s">
        <v>259</v>
      </c>
      <c r="BF47" s="362" t="s">
        <v>248</v>
      </c>
      <c r="BG47" s="362" t="s">
        <v>256</v>
      </c>
      <c r="BH47" s="362" t="s">
        <v>256</v>
      </c>
      <c r="BI47" s="362" t="s">
        <v>256</v>
      </c>
      <c r="BJ47" s="362" t="s">
        <v>256</v>
      </c>
      <c r="BK47" s="362" t="s">
        <v>256</v>
      </c>
      <c r="BL47" s="362" t="s">
        <v>256</v>
      </c>
      <c r="BM47" s="362" t="s">
        <v>259</v>
      </c>
      <c r="BN47" s="362" t="s">
        <v>256</v>
      </c>
      <c r="BO47" s="362" t="s">
        <v>259</v>
      </c>
      <c r="BP47" s="362" t="s">
        <v>284</v>
      </c>
      <c r="BQ47" s="362" t="s">
        <v>256</v>
      </c>
      <c r="BR47" s="362" t="s">
        <v>256</v>
      </c>
      <c r="BS47" s="362" t="s">
        <v>256</v>
      </c>
      <c r="BT47" s="362" t="s">
        <v>284</v>
      </c>
      <c r="BU47" s="362" t="s">
        <v>256</v>
      </c>
      <c r="BV47" s="362" t="s">
        <v>248</v>
      </c>
      <c r="BW47" s="362" t="s">
        <v>285</v>
      </c>
      <c r="BX47" s="362" t="s">
        <v>287</v>
      </c>
      <c r="BY47" s="362" t="s">
        <v>259</v>
      </c>
      <c r="BZ47" s="362" t="s">
        <v>259</v>
      </c>
      <c r="CA47" s="362">
        <v>1.5</v>
      </c>
      <c r="CB47" s="362">
        <v>0.4</v>
      </c>
      <c r="CC47" s="362">
        <v>223</v>
      </c>
      <c r="CD47" s="362">
        <v>8.5999999999999993E-2</v>
      </c>
      <c r="CE47" s="362">
        <v>0.31</v>
      </c>
      <c r="CF47" s="362">
        <v>7.9</v>
      </c>
      <c r="CG47" s="362">
        <v>7.5</v>
      </c>
      <c r="CH47" s="362">
        <v>949</v>
      </c>
      <c r="CI47" s="362">
        <v>57</v>
      </c>
      <c r="CJ47" s="362" t="s">
        <v>254</v>
      </c>
      <c r="CK47" s="362">
        <v>94.9</v>
      </c>
      <c r="CL47" s="362">
        <v>71</v>
      </c>
      <c r="CM47" s="362" t="s">
        <v>288</v>
      </c>
      <c r="CN47" s="362" t="s">
        <v>288</v>
      </c>
      <c r="CO47" s="362">
        <v>6.9</v>
      </c>
      <c r="CP47" s="362">
        <v>6.9</v>
      </c>
      <c r="CQ47" s="362" t="s">
        <v>254</v>
      </c>
      <c r="CR47" s="362" t="s">
        <v>254</v>
      </c>
      <c r="CS47" s="362">
        <v>9.4</v>
      </c>
      <c r="CT47" s="362">
        <v>10</v>
      </c>
      <c r="CU47" s="362">
        <v>0.2</v>
      </c>
      <c r="CV47" s="362">
        <v>390</v>
      </c>
      <c r="CW47" s="362">
        <v>7.1</v>
      </c>
      <c r="CX47" s="362">
        <v>1.1000000000000001</v>
      </c>
      <c r="CY47" s="362">
        <v>0.28000000000000003</v>
      </c>
      <c r="CZ47" s="362">
        <v>7.91</v>
      </c>
      <c r="DA47" s="362">
        <v>1.2</v>
      </c>
      <c r="DB47" s="362">
        <v>3700</v>
      </c>
      <c r="DC47" s="362">
        <v>950</v>
      </c>
      <c r="DD47" s="362">
        <v>22.4</v>
      </c>
      <c r="DE47" s="362">
        <v>2100</v>
      </c>
      <c r="DF47" s="362" t="s">
        <v>289</v>
      </c>
      <c r="DG47" s="362" t="s">
        <v>331</v>
      </c>
      <c r="DH47" s="362">
        <v>0.59</v>
      </c>
      <c r="DI47" s="362">
        <v>1270</v>
      </c>
      <c r="DJ47" s="362">
        <v>2600</v>
      </c>
      <c r="DK47" s="362">
        <v>6900</v>
      </c>
      <c r="DL47" s="362" t="s">
        <v>339</v>
      </c>
      <c r="DM47" s="362">
        <v>7.82</v>
      </c>
      <c r="DN47" s="362">
        <v>8.06</v>
      </c>
      <c r="DO47" s="362">
        <v>4177</v>
      </c>
      <c r="DP47" s="362">
        <v>19.399999999999999</v>
      </c>
      <c r="DQ47" s="362">
        <v>7.31</v>
      </c>
    </row>
    <row r="48" spans="1:121" hidden="1" x14ac:dyDescent="0.25">
      <c r="A48" s="362" t="s">
        <v>338</v>
      </c>
      <c r="B48" s="56" t="str">
        <f>VLOOKUP(Table3[[#This Row],[Station]], StationName, 2, FALSE)</f>
        <v>K01-12177-1 (K01P07)</v>
      </c>
      <c r="C48" s="362">
        <v>1721009</v>
      </c>
      <c r="D48" s="221">
        <v>44343.399305555555</v>
      </c>
      <c r="E48" s="362" t="s">
        <v>293</v>
      </c>
      <c r="F48" s="362" t="s">
        <v>294</v>
      </c>
      <c r="G48" s="362" t="s">
        <v>294</v>
      </c>
      <c r="H48" s="362" t="s">
        <v>294</v>
      </c>
      <c r="I48" s="362" t="s">
        <v>294</v>
      </c>
      <c r="J48" s="362" t="s">
        <v>294</v>
      </c>
      <c r="K48" s="362" t="s">
        <v>294</v>
      </c>
      <c r="L48" s="362" t="s">
        <v>294</v>
      </c>
      <c r="M48" s="362" t="s">
        <v>294</v>
      </c>
      <c r="N48" s="362" t="s">
        <v>294</v>
      </c>
      <c r="O48" s="362" t="s">
        <v>294</v>
      </c>
      <c r="P48" s="362" t="s">
        <v>294</v>
      </c>
      <c r="Q48" s="362" t="s">
        <v>294</v>
      </c>
      <c r="R48" s="362" t="s">
        <v>294</v>
      </c>
      <c r="S48" s="362" t="s">
        <v>294</v>
      </c>
      <c r="T48" s="362" t="s">
        <v>294</v>
      </c>
      <c r="U48" s="362" t="s">
        <v>294</v>
      </c>
      <c r="V48" s="362" t="s">
        <v>294</v>
      </c>
      <c r="W48" s="362" t="s">
        <v>294</v>
      </c>
      <c r="X48" s="362" t="s">
        <v>294</v>
      </c>
      <c r="Y48" s="362" t="s">
        <v>294</v>
      </c>
      <c r="Z48" s="362" t="s">
        <v>294</v>
      </c>
      <c r="AA48" s="362" t="s">
        <v>294</v>
      </c>
      <c r="AB48" s="362" t="s">
        <v>294</v>
      </c>
      <c r="AC48" s="362" t="s">
        <v>294</v>
      </c>
      <c r="AD48" s="362" t="s">
        <v>294</v>
      </c>
      <c r="AE48" s="362" t="s">
        <v>294</v>
      </c>
      <c r="AF48" s="362" t="s">
        <v>294</v>
      </c>
      <c r="AG48" s="362" t="s">
        <v>294</v>
      </c>
      <c r="AH48" s="362" t="s">
        <v>294</v>
      </c>
      <c r="AI48" s="362" t="s">
        <v>294</v>
      </c>
      <c r="AJ48" s="362" t="s">
        <v>294</v>
      </c>
      <c r="AK48" s="362" t="s">
        <v>294</v>
      </c>
      <c r="AL48" s="362" t="s">
        <v>294</v>
      </c>
      <c r="AM48" s="362" t="s">
        <v>294</v>
      </c>
      <c r="AN48" s="362" t="s">
        <v>294</v>
      </c>
      <c r="AO48" s="362" t="s">
        <v>294</v>
      </c>
      <c r="AP48" s="362" t="s">
        <v>294</v>
      </c>
      <c r="AQ48" s="362" t="s">
        <v>294</v>
      </c>
      <c r="AR48" s="362" t="s">
        <v>294</v>
      </c>
      <c r="AS48" s="362" t="s">
        <v>294</v>
      </c>
      <c r="AT48" s="362" t="s">
        <v>294</v>
      </c>
      <c r="AU48" s="362" t="s">
        <v>294</v>
      </c>
      <c r="AV48" s="362" t="s">
        <v>294</v>
      </c>
      <c r="AW48" s="362" t="s">
        <v>294</v>
      </c>
      <c r="AX48" s="362" t="s">
        <v>294</v>
      </c>
      <c r="AY48" s="362" t="s">
        <v>294</v>
      </c>
      <c r="AZ48" s="362" t="s">
        <v>294</v>
      </c>
      <c r="BA48" s="362" t="s">
        <v>294</v>
      </c>
      <c r="BB48" s="362" t="s">
        <v>294</v>
      </c>
      <c r="BC48" s="362" t="s">
        <v>294</v>
      </c>
      <c r="BD48" s="362" t="s">
        <v>294</v>
      </c>
      <c r="BE48" s="362" t="s">
        <v>294</v>
      </c>
      <c r="BF48" s="362" t="s">
        <v>294</v>
      </c>
      <c r="BG48" s="362" t="s">
        <v>294</v>
      </c>
      <c r="BH48" s="362" t="s">
        <v>294</v>
      </c>
      <c r="BI48" s="362" t="s">
        <v>294</v>
      </c>
      <c r="BJ48" s="362" t="s">
        <v>294</v>
      </c>
      <c r="BK48" s="362" t="s">
        <v>294</v>
      </c>
      <c r="BL48" s="362" t="s">
        <v>294</v>
      </c>
      <c r="BM48" s="362" t="s">
        <v>294</v>
      </c>
      <c r="BN48" s="362" t="s">
        <v>294</v>
      </c>
      <c r="BO48" s="362" t="s">
        <v>294</v>
      </c>
      <c r="BP48" s="362" t="s">
        <v>294</v>
      </c>
      <c r="BQ48" s="362" t="s">
        <v>294</v>
      </c>
      <c r="BR48" s="362" t="s">
        <v>294</v>
      </c>
      <c r="BS48" s="362" t="s">
        <v>294</v>
      </c>
      <c r="BT48" s="362" t="s">
        <v>294</v>
      </c>
      <c r="BU48" s="362" t="s">
        <v>294</v>
      </c>
      <c r="BV48" s="362" t="s">
        <v>294</v>
      </c>
      <c r="BW48" s="362" t="s">
        <v>294</v>
      </c>
      <c r="BX48" s="362" t="s">
        <v>294</v>
      </c>
      <c r="BY48" s="362" t="s">
        <v>294</v>
      </c>
      <c r="BZ48" s="362" t="s">
        <v>294</v>
      </c>
      <c r="CA48" s="362">
        <v>1.6</v>
      </c>
      <c r="CB48" s="362">
        <v>0.41</v>
      </c>
      <c r="CC48" s="362" t="s">
        <v>294</v>
      </c>
      <c r="CD48" s="362">
        <v>0.1</v>
      </c>
      <c r="CE48" s="362">
        <v>0.52</v>
      </c>
      <c r="CF48" s="362">
        <v>8.6</v>
      </c>
      <c r="CG48" s="362" t="s">
        <v>294</v>
      </c>
      <c r="CH48" s="362" t="s">
        <v>294</v>
      </c>
      <c r="CI48" s="362">
        <v>23</v>
      </c>
      <c r="CJ48" s="362" t="s">
        <v>254</v>
      </c>
      <c r="CK48" s="362" t="s">
        <v>294</v>
      </c>
      <c r="CL48" s="362">
        <v>68</v>
      </c>
      <c r="CM48" s="362" t="s">
        <v>294</v>
      </c>
      <c r="CN48" s="362" t="s">
        <v>288</v>
      </c>
      <c r="CO48" s="362">
        <v>7.2</v>
      </c>
      <c r="CP48" s="362">
        <v>6.9</v>
      </c>
      <c r="CQ48" s="362" t="s">
        <v>254</v>
      </c>
      <c r="CR48" s="362" t="s">
        <v>254</v>
      </c>
      <c r="CS48" s="362" t="s">
        <v>294</v>
      </c>
      <c r="CT48" s="362">
        <v>11</v>
      </c>
      <c r="CU48" s="362" t="s">
        <v>294</v>
      </c>
      <c r="CV48" s="362" t="s">
        <v>294</v>
      </c>
      <c r="CW48" s="362" t="s">
        <v>294</v>
      </c>
      <c r="CX48" s="362" t="s">
        <v>294</v>
      </c>
      <c r="CY48" s="362" t="s">
        <v>294</v>
      </c>
      <c r="CZ48" s="362" t="s">
        <v>294</v>
      </c>
      <c r="DA48" s="362" t="s">
        <v>294</v>
      </c>
      <c r="DB48" s="362" t="s">
        <v>294</v>
      </c>
      <c r="DC48" s="362" t="s">
        <v>294</v>
      </c>
      <c r="DD48" s="362" t="s">
        <v>294</v>
      </c>
      <c r="DE48" s="362" t="s">
        <v>294</v>
      </c>
      <c r="DF48" s="362" t="s">
        <v>294</v>
      </c>
      <c r="DG48" s="362" t="s">
        <v>294</v>
      </c>
      <c r="DH48" s="362" t="s">
        <v>294</v>
      </c>
      <c r="DI48" s="362" t="s">
        <v>294</v>
      </c>
      <c r="DJ48" s="362" t="s">
        <v>294</v>
      </c>
      <c r="DK48" s="362" t="s">
        <v>294</v>
      </c>
      <c r="DL48" s="362" t="s">
        <v>294</v>
      </c>
      <c r="DM48" s="362" t="s">
        <v>294</v>
      </c>
      <c r="DN48" s="362" t="s">
        <v>294</v>
      </c>
      <c r="DO48" s="362" t="s">
        <v>294</v>
      </c>
      <c r="DP48" s="362" t="s">
        <v>294</v>
      </c>
      <c r="DQ48" s="362" t="s">
        <v>294</v>
      </c>
    </row>
    <row r="49" spans="1:121" x14ac:dyDescent="0.25">
      <c r="A49" s="362" t="s">
        <v>340</v>
      </c>
      <c r="B49" s="56" t="str">
        <f>VLOOKUP(Table3[[#This Row],[Station]], StationName, 2, FALSE)</f>
        <v>J03-9221-1 (J03P02)</v>
      </c>
      <c r="C49" s="362">
        <v>1721004</v>
      </c>
      <c r="D49" s="221">
        <v>44343.4375</v>
      </c>
      <c r="E49" s="362" t="s">
        <v>283</v>
      </c>
      <c r="F49" s="362">
        <v>69</v>
      </c>
      <c r="G49" s="362">
        <v>88</v>
      </c>
      <c r="H49" s="362">
        <v>96</v>
      </c>
      <c r="I49" s="362">
        <v>86</v>
      </c>
      <c r="J49" s="362">
        <v>57</v>
      </c>
      <c r="K49" s="362">
        <v>72</v>
      </c>
      <c r="L49" s="362">
        <v>80</v>
      </c>
      <c r="M49" s="362">
        <v>83</v>
      </c>
      <c r="N49" s="362">
        <v>58</v>
      </c>
      <c r="O49" s="362" t="s">
        <v>259</v>
      </c>
      <c r="P49" s="362" t="s">
        <v>259</v>
      </c>
      <c r="Q49" s="362" t="s">
        <v>259</v>
      </c>
      <c r="R49" s="362" t="s">
        <v>259</v>
      </c>
      <c r="S49" s="362" t="s">
        <v>259</v>
      </c>
      <c r="T49" s="362" t="s">
        <v>259</v>
      </c>
      <c r="U49" s="362" t="s">
        <v>256</v>
      </c>
      <c r="V49" s="362" t="s">
        <v>256</v>
      </c>
      <c r="W49" s="362" t="s">
        <v>256</v>
      </c>
      <c r="X49" s="362" t="s">
        <v>256</v>
      </c>
      <c r="Y49" s="362" t="s">
        <v>284</v>
      </c>
      <c r="Z49" s="362" t="s">
        <v>256</v>
      </c>
      <c r="AA49" s="362" t="s">
        <v>256</v>
      </c>
      <c r="AB49" s="362" t="s">
        <v>256</v>
      </c>
      <c r="AC49" s="362" t="s">
        <v>256</v>
      </c>
      <c r="AD49" s="362" t="s">
        <v>256</v>
      </c>
      <c r="AE49" s="362" t="s">
        <v>256</v>
      </c>
      <c r="AF49" s="362" t="s">
        <v>256</v>
      </c>
      <c r="AG49" s="362" t="s">
        <v>256</v>
      </c>
      <c r="AH49" s="362" t="s">
        <v>256</v>
      </c>
      <c r="AI49" s="362" t="s">
        <v>256</v>
      </c>
      <c r="AJ49" s="362" t="s">
        <v>248</v>
      </c>
      <c r="AK49" s="362" t="s">
        <v>259</v>
      </c>
      <c r="AL49" s="362" t="s">
        <v>259</v>
      </c>
      <c r="AM49" s="362" t="s">
        <v>251</v>
      </c>
      <c r="AN49" s="362" t="s">
        <v>256</v>
      </c>
      <c r="AO49" s="362" t="s">
        <v>259</v>
      </c>
      <c r="AP49" s="362" t="s">
        <v>251</v>
      </c>
      <c r="AQ49" s="362" t="s">
        <v>256</v>
      </c>
      <c r="AR49" s="362" t="s">
        <v>256</v>
      </c>
      <c r="AS49" s="362" t="s">
        <v>285</v>
      </c>
      <c r="AT49" s="362" t="s">
        <v>259</v>
      </c>
      <c r="AU49" s="362" t="s">
        <v>284</v>
      </c>
      <c r="AV49" s="362" t="s">
        <v>259</v>
      </c>
      <c r="AW49" s="362" t="s">
        <v>256</v>
      </c>
      <c r="AX49" s="362" t="s">
        <v>256</v>
      </c>
      <c r="AY49" s="362" t="s">
        <v>256</v>
      </c>
      <c r="AZ49" s="362" t="s">
        <v>256</v>
      </c>
      <c r="BA49" s="362" t="s">
        <v>256</v>
      </c>
      <c r="BB49" s="362" t="s">
        <v>259</v>
      </c>
      <c r="BC49" s="362" t="s">
        <v>286</v>
      </c>
      <c r="BD49" s="362" t="s">
        <v>248</v>
      </c>
      <c r="BE49" s="362" t="s">
        <v>259</v>
      </c>
      <c r="BF49" s="362" t="s">
        <v>248</v>
      </c>
      <c r="BG49" s="362" t="s">
        <v>256</v>
      </c>
      <c r="BH49" s="362" t="s">
        <v>256</v>
      </c>
      <c r="BI49" s="362" t="s">
        <v>256</v>
      </c>
      <c r="BJ49" s="362" t="s">
        <v>256</v>
      </c>
      <c r="BK49" s="362" t="s">
        <v>256</v>
      </c>
      <c r="BL49" s="362" t="s">
        <v>256</v>
      </c>
      <c r="BM49" s="362" t="s">
        <v>259</v>
      </c>
      <c r="BN49" s="362" t="s">
        <v>256</v>
      </c>
      <c r="BO49" s="362" t="s">
        <v>259</v>
      </c>
      <c r="BP49" s="362" t="s">
        <v>284</v>
      </c>
      <c r="BQ49" s="362" t="s">
        <v>256</v>
      </c>
      <c r="BR49" s="362" t="s">
        <v>256</v>
      </c>
      <c r="BS49" s="362" t="s">
        <v>256</v>
      </c>
      <c r="BT49" s="362" t="s">
        <v>284</v>
      </c>
      <c r="BU49" s="362" t="s">
        <v>256</v>
      </c>
      <c r="BV49" s="362" t="s">
        <v>248</v>
      </c>
      <c r="BW49" s="362" t="s">
        <v>285</v>
      </c>
      <c r="BX49" s="362" t="s">
        <v>287</v>
      </c>
      <c r="BY49" s="362" t="s">
        <v>259</v>
      </c>
      <c r="BZ49" s="362" t="s">
        <v>259</v>
      </c>
      <c r="CA49" s="362">
        <v>1</v>
      </c>
      <c r="CB49" s="362">
        <v>8.5</v>
      </c>
      <c r="CC49" s="362">
        <v>378</v>
      </c>
      <c r="CD49" s="362" t="s">
        <v>230</v>
      </c>
      <c r="CE49" s="362">
        <v>0.39</v>
      </c>
      <c r="CF49" s="362">
        <v>1.7</v>
      </c>
      <c r="CG49" s="362">
        <v>4</v>
      </c>
      <c r="CH49" s="362">
        <v>2230</v>
      </c>
      <c r="CI49" s="362">
        <v>52</v>
      </c>
      <c r="CJ49" s="362" t="s">
        <v>254</v>
      </c>
      <c r="CK49" s="362">
        <v>313</v>
      </c>
      <c r="CL49" s="362">
        <v>560</v>
      </c>
      <c r="CM49" s="362" t="s">
        <v>288</v>
      </c>
      <c r="CN49" s="362" t="s">
        <v>288</v>
      </c>
      <c r="CO49" s="362">
        <v>50</v>
      </c>
      <c r="CP49" s="362">
        <v>4.7</v>
      </c>
      <c r="CQ49" s="362" t="s">
        <v>254</v>
      </c>
      <c r="CR49" s="362" t="s">
        <v>254</v>
      </c>
      <c r="CS49" s="362">
        <v>7.5</v>
      </c>
      <c r="CT49" s="362">
        <v>22</v>
      </c>
      <c r="CU49" s="362">
        <v>0.1</v>
      </c>
      <c r="CV49" s="362">
        <v>540</v>
      </c>
      <c r="CW49" s="362">
        <v>1.3</v>
      </c>
      <c r="CX49" s="362">
        <v>0.6</v>
      </c>
      <c r="CY49" s="362">
        <v>9.7000000000000003E-2</v>
      </c>
      <c r="CZ49" s="362">
        <v>7.92</v>
      </c>
      <c r="DA49" s="362">
        <v>0.72</v>
      </c>
      <c r="DB49" s="362">
        <v>5700</v>
      </c>
      <c r="DC49" s="362">
        <v>2100</v>
      </c>
      <c r="DD49" s="362">
        <v>22.3</v>
      </c>
      <c r="DE49" s="362">
        <v>4000</v>
      </c>
      <c r="DF49" s="362" t="s">
        <v>289</v>
      </c>
      <c r="DG49" s="362" t="s">
        <v>331</v>
      </c>
      <c r="DH49" s="362">
        <v>0.5</v>
      </c>
      <c r="DI49" s="362">
        <v>390</v>
      </c>
      <c r="DJ49" s="362">
        <v>50</v>
      </c>
      <c r="DK49" s="362">
        <v>70</v>
      </c>
      <c r="DL49" s="362" t="s">
        <v>341</v>
      </c>
      <c r="DM49" s="362">
        <v>9</v>
      </c>
      <c r="DN49" s="362">
        <v>7.98</v>
      </c>
      <c r="DO49" s="362">
        <v>6957</v>
      </c>
      <c r="DP49" s="362">
        <v>20.399999999999999</v>
      </c>
      <c r="DQ49" s="362">
        <v>1.34</v>
      </c>
    </row>
    <row r="50" spans="1:121" hidden="1" x14ac:dyDescent="0.25">
      <c r="A50" s="362" t="s">
        <v>340</v>
      </c>
      <c r="B50" s="56" t="str">
        <f>VLOOKUP(Table3[[#This Row],[Station]], StationName, 2, FALSE)</f>
        <v>J03-9221-1 (J03P02)</v>
      </c>
      <c r="C50" s="362">
        <v>1721010</v>
      </c>
      <c r="D50" s="221">
        <v>44343.4375</v>
      </c>
      <c r="E50" s="362" t="s">
        <v>293</v>
      </c>
      <c r="F50" s="362" t="s">
        <v>294</v>
      </c>
      <c r="G50" s="362" t="s">
        <v>294</v>
      </c>
      <c r="H50" s="362" t="s">
        <v>294</v>
      </c>
      <c r="I50" s="362" t="s">
        <v>294</v>
      </c>
      <c r="J50" s="362" t="s">
        <v>294</v>
      </c>
      <c r="K50" s="362" t="s">
        <v>294</v>
      </c>
      <c r="L50" s="362" t="s">
        <v>294</v>
      </c>
      <c r="M50" s="362" t="s">
        <v>294</v>
      </c>
      <c r="N50" s="362" t="s">
        <v>294</v>
      </c>
      <c r="O50" s="362" t="s">
        <v>294</v>
      </c>
      <c r="P50" s="362" t="s">
        <v>294</v>
      </c>
      <c r="Q50" s="362" t="s">
        <v>294</v>
      </c>
      <c r="R50" s="362" t="s">
        <v>294</v>
      </c>
      <c r="S50" s="362" t="s">
        <v>294</v>
      </c>
      <c r="T50" s="362" t="s">
        <v>294</v>
      </c>
      <c r="U50" s="362" t="s">
        <v>294</v>
      </c>
      <c r="V50" s="362" t="s">
        <v>294</v>
      </c>
      <c r="W50" s="362" t="s">
        <v>294</v>
      </c>
      <c r="X50" s="362" t="s">
        <v>294</v>
      </c>
      <c r="Y50" s="362" t="s">
        <v>294</v>
      </c>
      <c r="Z50" s="362" t="s">
        <v>294</v>
      </c>
      <c r="AA50" s="362" t="s">
        <v>294</v>
      </c>
      <c r="AB50" s="362" t="s">
        <v>294</v>
      </c>
      <c r="AC50" s="362" t="s">
        <v>294</v>
      </c>
      <c r="AD50" s="362" t="s">
        <v>294</v>
      </c>
      <c r="AE50" s="362" t="s">
        <v>294</v>
      </c>
      <c r="AF50" s="362" t="s">
        <v>294</v>
      </c>
      <c r="AG50" s="362" t="s">
        <v>294</v>
      </c>
      <c r="AH50" s="362" t="s">
        <v>294</v>
      </c>
      <c r="AI50" s="362" t="s">
        <v>294</v>
      </c>
      <c r="AJ50" s="362" t="s">
        <v>294</v>
      </c>
      <c r="AK50" s="362" t="s">
        <v>294</v>
      </c>
      <c r="AL50" s="362" t="s">
        <v>294</v>
      </c>
      <c r="AM50" s="362" t="s">
        <v>294</v>
      </c>
      <c r="AN50" s="362" t="s">
        <v>294</v>
      </c>
      <c r="AO50" s="362" t="s">
        <v>294</v>
      </c>
      <c r="AP50" s="362" t="s">
        <v>294</v>
      </c>
      <c r="AQ50" s="362" t="s">
        <v>294</v>
      </c>
      <c r="AR50" s="362" t="s">
        <v>294</v>
      </c>
      <c r="AS50" s="362" t="s">
        <v>294</v>
      </c>
      <c r="AT50" s="362" t="s">
        <v>294</v>
      </c>
      <c r="AU50" s="362" t="s">
        <v>294</v>
      </c>
      <c r="AV50" s="362" t="s">
        <v>294</v>
      </c>
      <c r="AW50" s="362" t="s">
        <v>294</v>
      </c>
      <c r="AX50" s="362" t="s">
        <v>294</v>
      </c>
      <c r="AY50" s="362" t="s">
        <v>294</v>
      </c>
      <c r="AZ50" s="362" t="s">
        <v>294</v>
      </c>
      <c r="BA50" s="362" t="s">
        <v>294</v>
      </c>
      <c r="BB50" s="362" t="s">
        <v>294</v>
      </c>
      <c r="BC50" s="362" t="s">
        <v>294</v>
      </c>
      <c r="BD50" s="362" t="s">
        <v>294</v>
      </c>
      <c r="BE50" s="362" t="s">
        <v>294</v>
      </c>
      <c r="BF50" s="362" t="s">
        <v>294</v>
      </c>
      <c r="BG50" s="362" t="s">
        <v>294</v>
      </c>
      <c r="BH50" s="362" t="s">
        <v>294</v>
      </c>
      <c r="BI50" s="362" t="s">
        <v>294</v>
      </c>
      <c r="BJ50" s="362" t="s">
        <v>294</v>
      </c>
      <c r="BK50" s="362" t="s">
        <v>294</v>
      </c>
      <c r="BL50" s="362" t="s">
        <v>294</v>
      </c>
      <c r="BM50" s="362" t="s">
        <v>294</v>
      </c>
      <c r="BN50" s="362" t="s">
        <v>294</v>
      </c>
      <c r="BO50" s="362" t="s">
        <v>294</v>
      </c>
      <c r="BP50" s="362" t="s">
        <v>294</v>
      </c>
      <c r="BQ50" s="362" t="s">
        <v>294</v>
      </c>
      <c r="BR50" s="362" t="s">
        <v>294</v>
      </c>
      <c r="BS50" s="362" t="s">
        <v>294</v>
      </c>
      <c r="BT50" s="362" t="s">
        <v>294</v>
      </c>
      <c r="BU50" s="362" t="s">
        <v>294</v>
      </c>
      <c r="BV50" s="362" t="s">
        <v>294</v>
      </c>
      <c r="BW50" s="362" t="s">
        <v>294</v>
      </c>
      <c r="BX50" s="362" t="s">
        <v>294</v>
      </c>
      <c r="BY50" s="362" t="s">
        <v>294</v>
      </c>
      <c r="BZ50" s="362" t="s">
        <v>294</v>
      </c>
      <c r="CA50" s="362">
        <v>0.97</v>
      </c>
      <c r="CB50" s="362">
        <v>5.9</v>
      </c>
      <c r="CC50" s="362" t="s">
        <v>294</v>
      </c>
      <c r="CD50" s="362" t="s">
        <v>230</v>
      </c>
      <c r="CE50" s="362">
        <v>0.35</v>
      </c>
      <c r="CF50" s="362">
        <v>2</v>
      </c>
      <c r="CG50" s="362" t="s">
        <v>294</v>
      </c>
      <c r="CH50" s="362" t="s">
        <v>294</v>
      </c>
      <c r="CI50" s="362" t="s">
        <v>286</v>
      </c>
      <c r="CJ50" s="362" t="s">
        <v>254</v>
      </c>
      <c r="CK50" s="362" t="s">
        <v>294</v>
      </c>
      <c r="CL50" s="362">
        <v>550</v>
      </c>
      <c r="CM50" s="362" t="s">
        <v>294</v>
      </c>
      <c r="CN50" s="362" t="s">
        <v>288</v>
      </c>
      <c r="CO50" s="362">
        <v>50</v>
      </c>
      <c r="CP50" s="362">
        <v>4.8</v>
      </c>
      <c r="CQ50" s="362" t="s">
        <v>254</v>
      </c>
      <c r="CR50" s="362" t="s">
        <v>254</v>
      </c>
      <c r="CS50" s="362" t="s">
        <v>294</v>
      </c>
      <c r="CT50" s="362">
        <v>17</v>
      </c>
      <c r="CU50" s="362" t="s">
        <v>294</v>
      </c>
      <c r="CV50" s="362" t="s">
        <v>294</v>
      </c>
      <c r="CW50" s="362" t="s">
        <v>294</v>
      </c>
      <c r="CX50" s="362" t="s">
        <v>294</v>
      </c>
      <c r="CY50" s="362" t="s">
        <v>294</v>
      </c>
      <c r="CZ50" s="362" t="s">
        <v>294</v>
      </c>
      <c r="DA50" s="362" t="s">
        <v>294</v>
      </c>
      <c r="DB50" s="362" t="s">
        <v>294</v>
      </c>
      <c r="DC50" s="362" t="s">
        <v>294</v>
      </c>
      <c r="DD50" s="362" t="s">
        <v>294</v>
      </c>
      <c r="DE50" s="362" t="s">
        <v>294</v>
      </c>
      <c r="DF50" s="362" t="s">
        <v>294</v>
      </c>
      <c r="DG50" s="362" t="s">
        <v>294</v>
      </c>
      <c r="DH50" s="362" t="s">
        <v>294</v>
      </c>
      <c r="DI50" s="362" t="s">
        <v>294</v>
      </c>
      <c r="DJ50" s="362" t="s">
        <v>294</v>
      </c>
      <c r="DK50" s="362" t="s">
        <v>294</v>
      </c>
      <c r="DL50" s="362" t="s">
        <v>294</v>
      </c>
      <c r="DM50" s="362" t="s">
        <v>294</v>
      </c>
      <c r="DN50" s="362" t="s">
        <v>294</v>
      </c>
      <c r="DO50" s="362" t="s">
        <v>294</v>
      </c>
      <c r="DP50" s="362" t="s">
        <v>294</v>
      </c>
      <c r="DQ50" s="362" t="s">
        <v>294</v>
      </c>
    </row>
    <row r="51" spans="1:121" x14ac:dyDescent="0.25">
      <c r="A51" s="362" t="s">
        <v>342</v>
      </c>
      <c r="B51" s="56" t="str">
        <f>VLOOKUP(Table3[[#This Row],[Station]], StationName, 2, FALSE)</f>
        <v>J01-10004-1 (J01P01)</v>
      </c>
      <c r="C51" s="362">
        <v>1722004</v>
      </c>
      <c r="D51" s="221">
        <v>44343.443749999999</v>
      </c>
      <c r="E51" s="362" t="s">
        <v>283</v>
      </c>
      <c r="F51" s="362">
        <v>68</v>
      </c>
      <c r="G51" s="362">
        <v>90</v>
      </c>
      <c r="H51" s="362">
        <v>116</v>
      </c>
      <c r="I51" s="362">
        <v>87</v>
      </c>
      <c r="J51" s="362">
        <v>54</v>
      </c>
      <c r="K51" s="362">
        <v>73</v>
      </c>
      <c r="L51" s="362">
        <v>88</v>
      </c>
      <c r="M51" s="362">
        <v>81</v>
      </c>
      <c r="N51" s="362">
        <v>58</v>
      </c>
      <c r="O51" s="362" t="s">
        <v>259</v>
      </c>
      <c r="P51" s="362" t="s">
        <v>259</v>
      </c>
      <c r="Q51" s="362" t="s">
        <v>259</v>
      </c>
      <c r="R51" s="362" t="s">
        <v>259</v>
      </c>
      <c r="S51" s="362" t="s">
        <v>259</v>
      </c>
      <c r="T51" s="362" t="s">
        <v>259</v>
      </c>
      <c r="U51" s="362" t="s">
        <v>256</v>
      </c>
      <c r="V51" s="362" t="s">
        <v>256</v>
      </c>
      <c r="W51" s="362" t="s">
        <v>256</v>
      </c>
      <c r="X51" s="362" t="s">
        <v>256</v>
      </c>
      <c r="Y51" s="362" t="s">
        <v>284</v>
      </c>
      <c r="Z51" s="362" t="s">
        <v>256</v>
      </c>
      <c r="AA51" s="362" t="s">
        <v>256</v>
      </c>
      <c r="AB51" s="362" t="s">
        <v>256</v>
      </c>
      <c r="AC51" s="362" t="s">
        <v>256</v>
      </c>
      <c r="AD51" s="362" t="s">
        <v>256</v>
      </c>
      <c r="AE51" s="362" t="s">
        <v>256</v>
      </c>
      <c r="AF51" s="362" t="s">
        <v>256</v>
      </c>
      <c r="AG51" s="362" t="s">
        <v>256</v>
      </c>
      <c r="AH51" s="362" t="s">
        <v>256</v>
      </c>
      <c r="AI51" s="362" t="s">
        <v>256</v>
      </c>
      <c r="AJ51" s="362" t="s">
        <v>248</v>
      </c>
      <c r="AK51" s="362" t="s">
        <v>259</v>
      </c>
      <c r="AL51" s="362" t="s">
        <v>259</v>
      </c>
      <c r="AM51" s="362" t="s">
        <v>251</v>
      </c>
      <c r="AN51" s="362" t="s">
        <v>256</v>
      </c>
      <c r="AO51" s="362" t="s">
        <v>259</v>
      </c>
      <c r="AP51" s="362" t="s">
        <v>251</v>
      </c>
      <c r="AQ51" s="362" t="s">
        <v>256</v>
      </c>
      <c r="AR51" s="362" t="s">
        <v>256</v>
      </c>
      <c r="AS51" s="362" t="s">
        <v>285</v>
      </c>
      <c r="AT51" s="362" t="s">
        <v>259</v>
      </c>
      <c r="AU51" s="362" t="s">
        <v>284</v>
      </c>
      <c r="AV51" s="362" t="s">
        <v>259</v>
      </c>
      <c r="AW51" s="362" t="s">
        <v>256</v>
      </c>
      <c r="AX51" s="362" t="s">
        <v>256</v>
      </c>
      <c r="AY51" s="362" t="s">
        <v>256</v>
      </c>
      <c r="AZ51" s="362" t="s">
        <v>256</v>
      </c>
      <c r="BA51" s="362" t="s">
        <v>256</v>
      </c>
      <c r="BB51" s="362" t="s">
        <v>259</v>
      </c>
      <c r="BC51" s="362" t="s">
        <v>286</v>
      </c>
      <c r="BD51" s="362" t="s">
        <v>248</v>
      </c>
      <c r="BE51" s="362" t="s">
        <v>259</v>
      </c>
      <c r="BF51" s="362" t="s">
        <v>259</v>
      </c>
      <c r="BG51" s="362" t="s">
        <v>256</v>
      </c>
      <c r="BH51" s="362" t="s">
        <v>256</v>
      </c>
      <c r="BI51" s="362" t="s">
        <v>256</v>
      </c>
      <c r="BJ51" s="362" t="s">
        <v>256</v>
      </c>
      <c r="BK51" s="362" t="s">
        <v>256</v>
      </c>
      <c r="BL51" s="362" t="s">
        <v>256</v>
      </c>
      <c r="BM51" s="362" t="s">
        <v>259</v>
      </c>
      <c r="BN51" s="362" t="s">
        <v>256</v>
      </c>
      <c r="BO51" s="362" t="s">
        <v>259</v>
      </c>
      <c r="BP51" s="362" t="s">
        <v>284</v>
      </c>
      <c r="BQ51" s="362" t="s">
        <v>256</v>
      </c>
      <c r="BR51" s="362" t="s">
        <v>256</v>
      </c>
      <c r="BS51" s="362" t="s">
        <v>256</v>
      </c>
      <c r="BT51" s="362" t="s">
        <v>284</v>
      </c>
      <c r="BU51" s="362" t="s">
        <v>256</v>
      </c>
      <c r="BV51" s="362" t="s">
        <v>248</v>
      </c>
      <c r="BW51" s="362" t="s">
        <v>285</v>
      </c>
      <c r="BX51" s="362" t="s">
        <v>287</v>
      </c>
      <c r="BY51" s="362" t="s">
        <v>259</v>
      </c>
      <c r="BZ51" s="362" t="s">
        <v>259</v>
      </c>
      <c r="CA51" s="362">
        <v>5.0999999999999996</v>
      </c>
      <c r="CB51" s="362" t="s">
        <v>254</v>
      </c>
      <c r="CC51" s="362">
        <v>245</v>
      </c>
      <c r="CD51" s="362">
        <v>0.27</v>
      </c>
      <c r="CE51" s="362">
        <v>0.33</v>
      </c>
      <c r="CF51" s="362">
        <v>2.5</v>
      </c>
      <c r="CG51" s="362">
        <v>1.2</v>
      </c>
      <c r="CH51" s="362">
        <v>775</v>
      </c>
      <c r="CI51" s="362">
        <v>29</v>
      </c>
      <c r="CJ51" s="362" t="s">
        <v>254</v>
      </c>
      <c r="CK51" s="362">
        <v>39.5</v>
      </c>
      <c r="CL51" s="362">
        <v>54</v>
      </c>
      <c r="CM51" s="362" t="s">
        <v>288</v>
      </c>
      <c r="CN51" s="362" t="s">
        <v>288</v>
      </c>
      <c r="CO51" s="362">
        <v>2</v>
      </c>
      <c r="CP51" s="362">
        <v>3.2</v>
      </c>
      <c r="CQ51" s="362" t="s">
        <v>254</v>
      </c>
      <c r="CR51" s="362" t="s">
        <v>254</v>
      </c>
      <c r="CS51" s="362">
        <v>6.4</v>
      </c>
      <c r="CT51" s="362" t="s">
        <v>284</v>
      </c>
      <c r="CU51" s="362" t="s">
        <v>153</v>
      </c>
      <c r="CV51" s="362">
        <v>250</v>
      </c>
      <c r="CW51" s="362">
        <v>6.6</v>
      </c>
      <c r="CX51" s="362">
        <v>0.62</v>
      </c>
      <c r="CY51" s="362">
        <v>0.37</v>
      </c>
      <c r="CZ51" s="362">
        <v>8.1300000000000008</v>
      </c>
      <c r="DA51" s="362">
        <v>1.5</v>
      </c>
      <c r="DB51" s="362">
        <v>2500</v>
      </c>
      <c r="DC51" s="362">
        <v>420</v>
      </c>
      <c r="DD51" s="362">
        <v>22.4</v>
      </c>
      <c r="DE51" s="362">
        <v>1400</v>
      </c>
      <c r="DF51" s="362" t="s">
        <v>289</v>
      </c>
      <c r="DG51" s="362" t="s">
        <v>331</v>
      </c>
      <c r="DH51" s="362">
        <v>0.66</v>
      </c>
      <c r="DI51" s="362">
        <v>20000</v>
      </c>
      <c r="DJ51" s="362">
        <v>7100</v>
      </c>
      <c r="DK51" s="362">
        <v>13300</v>
      </c>
      <c r="DL51" s="362" t="s">
        <v>343</v>
      </c>
      <c r="DM51" s="362">
        <v>9.11</v>
      </c>
      <c r="DN51" s="362">
        <v>8.17</v>
      </c>
      <c r="DO51" s="362">
        <v>2063</v>
      </c>
      <c r="DP51" s="362">
        <v>19.18</v>
      </c>
      <c r="DQ51" s="362">
        <v>1.42</v>
      </c>
    </row>
    <row r="52" spans="1:121" hidden="1" x14ac:dyDescent="0.25">
      <c r="A52" s="362" t="s">
        <v>342</v>
      </c>
      <c r="B52" s="56" t="str">
        <f>VLOOKUP(Table3[[#This Row],[Station]], StationName, 2, FALSE)</f>
        <v>J01-10004-1 (J01P01)</v>
      </c>
      <c r="C52" s="362">
        <v>1722009</v>
      </c>
      <c r="D52" s="221">
        <v>44343.443749999999</v>
      </c>
      <c r="E52" s="362" t="s">
        <v>293</v>
      </c>
      <c r="F52" s="362" t="s">
        <v>294</v>
      </c>
      <c r="G52" s="362" t="s">
        <v>294</v>
      </c>
      <c r="H52" s="362" t="s">
        <v>294</v>
      </c>
      <c r="I52" s="362" t="s">
        <v>294</v>
      </c>
      <c r="J52" s="362" t="s">
        <v>294</v>
      </c>
      <c r="K52" s="362" t="s">
        <v>294</v>
      </c>
      <c r="L52" s="362" t="s">
        <v>294</v>
      </c>
      <c r="M52" s="362" t="s">
        <v>294</v>
      </c>
      <c r="N52" s="362" t="s">
        <v>294</v>
      </c>
      <c r="O52" s="362" t="s">
        <v>294</v>
      </c>
      <c r="P52" s="362" t="s">
        <v>294</v>
      </c>
      <c r="Q52" s="362" t="s">
        <v>294</v>
      </c>
      <c r="R52" s="362" t="s">
        <v>294</v>
      </c>
      <c r="S52" s="362" t="s">
        <v>294</v>
      </c>
      <c r="T52" s="362" t="s">
        <v>294</v>
      </c>
      <c r="U52" s="362" t="s">
        <v>294</v>
      </c>
      <c r="V52" s="362" t="s">
        <v>294</v>
      </c>
      <c r="W52" s="362" t="s">
        <v>294</v>
      </c>
      <c r="X52" s="362" t="s">
        <v>294</v>
      </c>
      <c r="Y52" s="362" t="s">
        <v>294</v>
      </c>
      <c r="Z52" s="362" t="s">
        <v>294</v>
      </c>
      <c r="AA52" s="362" t="s">
        <v>294</v>
      </c>
      <c r="AB52" s="362" t="s">
        <v>294</v>
      </c>
      <c r="AC52" s="362" t="s">
        <v>294</v>
      </c>
      <c r="AD52" s="362" t="s">
        <v>294</v>
      </c>
      <c r="AE52" s="362" t="s">
        <v>294</v>
      </c>
      <c r="AF52" s="362" t="s">
        <v>294</v>
      </c>
      <c r="AG52" s="362" t="s">
        <v>294</v>
      </c>
      <c r="AH52" s="362" t="s">
        <v>294</v>
      </c>
      <c r="AI52" s="362" t="s">
        <v>294</v>
      </c>
      <c r="AJ52" s="362" t="s">
        <v>294</v>
      </c>
      <c r="AK52" s="362" t="s">
        <v>294</v>
      </c>
      <c r="AL52" s="362" t="s">
        <v>294</v>
      </c>
      <c r="AM52" s="362" t="s">
        <v>294</v>
      </c>
      <c r="AN52" s="362" t="s">
        <v>294</v>
      </c>
      <c r="AO52" s="362" t="s">
        <v>294</v>
      </c>
      <c r="AP52" s="362" t="s">
        <v>294</v>
      </c>
      <c r="AQ52" s="362" t="s">
        <v>294</v>
      </c>
      <c r="AR52" s="362" t="s">
        <v>294</v>
      </c>
      <c r="AS52" s="362" t="s">
        <v>294</v>
      </c>
      <c r="AT52" s="362" t="s">
        <v>294</v>
      </c>
      <c r="AU52" s="362" t="s">
        <v>294</v>
      </c>
      <c r="AV52" s="362" t="s">
        <v>294</v>
      </c>
      <c r="AW52" s="362" t="s">
        <v>294</v>
      </c>
      <c r="AX52" s="362" t="s">
        <v>294</v>
      </c>
      <c r="AY52" s="362" t="s">
        <v>294</v>
      </c>
      <c r="AZ52" s="362" t="s">
        <v>294</v>
      </c>
      <c r="BA52" s="362" t="s">
        <v>294</v>
      </c>
      <c r="BB52" s="362" t="s">
        <v>294</v>
      </c>
      <c r="BC52" s="362" t="s">
        <v>294</v>
      </c>
      <c r="BD52" s="362" t="s">
        <v>294</v>
      </c>
      <c r="BE52" s="362" t="s">
        <v>294</v>
      </c>
      <c r="BF52" s="362" t="s">
        <v>294</v>
      </c>
      <c r="BG52" s="362" t="s">
        <v>294</v>
      </c>
      <c r="BH52" s="362" t="s">
        <v>294</v>
      </c>
      <c r="BI52" s="362" t="s">
        <v>294</v>
      </c>
      <c r="BJ52" s="362" t="s">
        <v>294</v>
      </c>
      <c r="BK52" s="362" t="s">
        <v>294</v>
      </c>
      <c r="BL52" s="362" t="s">
        <v>294</v>
      </c>
      <c r="BM52" s="362" t="s">
        <v>294</v>
      </c>
      <c r="BN52" s="362" t="s">
        <v>294</v>
      </c>
      <c r="BO52" s="362" t="s">
        <v>294</v>
      </c>
      <c r="BP52" s="362" t="s">
        <v>294</v>
      </c>
      <c r="BQ52" s="362" t="s">
        <v>294</v>
      </c>
      <c r="BR52" s="362" t="s">
        <v>294</v>
      </c>
      <c r="BS52" s="362" t="s">
        <v>294</v>
      </c>
      <c r="BT52" s="362" t="s">
        <v>294</v>
      </c>
      <c r="BU52" s="362" t="s">
        <v>294</v>
      </c>
      <c r="BV52" s="362" t="s">
        <v>294</v>
      </c>
      <c r="BW52" s="362" t="s">
        <v>294</v>
      </c>
      <c r="BX52" s="362" t="s">
        <v>294</v>
      </c>
      <c r="BY52" s="362" t="s">
        <v>294</v>
      </c>
      <c r="BZ52" s="362" t="s">
        <v>294</v>
      </c>
      <c r="CA52" s="362">
        <v>5.0999999999999996</v>
      </c>
      <c r="CB52" s="362" t="s">
        <v>254</v>
      </c>
      <c r="CC52" s="362" t="s">
        <v>294</v>
      </c>
      <c r="CD52" s="362">
        <v>0.27</v>
      </c>
      <c r="CE52" s="362">
        <v>0.3</v>
      </c>
      <c r="CF52" s="362">
        <v>1.8</v>
      </c>
      <c r="CG52" s="362" t="s">
        <v>294</v>
      </c>
      <c r="CH52" s="362" t="s">
        <v>294</v>
      </c>
      <c r="CI52" s="362" t="s">
        <v>286</v>
      </c>
      <c r="CJ52" s="362" t="s">
        <v>254</v>
      </c>
      <c r="CK52" s="362" t="s">
        <v>294</v>
      </c>
      <c r="CL52" s="362">
        <v>51</v>
      </c>
      <c r="CM52" s="362" t="s">
        <v>294</v>
      </c>
      <c r="CN52" s="362" t="s">
        <v>288</v>
      </c>
      <c r="CO52" s="362">
        <v>2</v>
      </c>
      <c r="CP52" s="362">
        <v>3.3</v>
      </c>
      <c r="CQ52" s="362" t="s">
        <v>254</v>
      </c>
      <c r="CR52" s="362" t="s">
        <v>254</v>
      </c>
      <c r="CS52" s="362" t="s">
        <v>294</v>
      </c>
      <c r="CT52" s="362" t="s">
        <v>284</v>
      </c>
      <c r="CU52" s="362" t="s">
        <v>294</v>
      </c>
      <c r="CV52" s="362" t="s">
        <v>294</v>
      </c>
      <c r="CW52" s="362" t="s">
        <v>294</v>
      </c>
      <c r="CX52" s="362" t="s">
        <v>294</v>
      </c>
      <c r="CY52" s="362" t="s">
        <v>294</v>
      </c>
      <c r="CZ52" s="362" t="s">
        <v>294</v>
      </c>
      <c r="DA52" s="362" t="s">
        <v>294</v>
      </c>
      <c r="DB52" s="362" t="s">
        <v>294</v>
      </c>
      <c r="DC52" s="362" t="s">
        <v>294</v>
      </c>
      <c r="DD52" s="362" t="s">
        <v>294</v>
      </c>
      <c r="DE52" s="362" t="s">
        <v>294</v>
      </c>
      <c r="DF52" s="362" t="s">
        <v>294</v>
      </c>
      <c r="DG52" s="362" t="s">
        <v>294</v>
      </c>
      <c r="DH52" s="362" t="s">
        <v>294</v>
      </c>
      <c r="DI52" s="362" t="s">
        <v>294</v>
      </c>
      <c r="DJ52" s="362" t="s">
        <v>294</v>
      </c>
      <c r="DK52" s="362" t="s">
        <v>294</v>
      </c>
      <c r="DL52" s="362" t="s">
        <v>294</v>
      </c>
      <c r="DM52" s="362" t="s">
        <v>294</v>
      </c>
      <c r="DN52" s="362" t="s">
        <v>294</v>
      </c>
      <c r="DO52" s="362" t="s">
        <v>294</v>
      </c>
      <c r="DP52" s="362" t="s">
        <v>294</v>
      </c>
      <c r="DQ52" s="362" t="s">
        <v>294</v>
      </c>
    </row>
    <row r="53" spans="1:121" x14ac:dyDescent="0.25">
      <c r="A53" s="362" t="s">
        <v>344</v>
      </c>
      <c r="B53" s="56" t="str">
        <f>VLOOKUP(Table3[[#This Row],[Station]], StationName, 2, FALSE)</f>
        <v>J01-9224-1 (J01P24)</v>
      </c>
      <c r="C53" s="362">
        <v>1721005</v>
      </c>
      <c r="D53" s="221">
        <v>44343.46597222222</v>
      </c>
      <c r="E53" s="362" t="s">
        <v>283</v>
      </c>
      <c r="F53" s="362">
        <v>70</v>
      </c>
      <c r="G53" s="362">
        <v>90</v>
      </c>
      <c r="H53" s="362">
        <v>101</v>
      </c>
      <c r="I53" s="362">
        <v>89</v>
      </c>
      <c r="J53" s="362">
        <v>58</v>
      </c>
      <c r="K53" s="362">
        <v>77</v>
      </c>
      <c r="L53" s="362">
        <v>93</v>
      </c>
      <c r="M53" s="362">
        <v>95</v>
      </c>
      <c r="N53" s="362">
        <v>60</v>
      </c>
      <c r="O53" s="362" t="s">
        <v>259</v>
      </c>
      <c r="P53" s="362" t="s">
        <v>259</v>
      </c>
      <c r="Q53" s="362" t="s">
        <v>259</v>
      </c>
      <c r="R53" s="362" t="s">
        <v>259</v>
      </c>
      <c r="S53" s="362" t="s">
        <v>259</v>
      </c>
      <c r="T53" s="362" t="s">
        <v>259</v>
      </c>
      <c r="U53" s="362" t="s">
        <v>256</v>
      </c>
      <c r="V53" s="362" t="s">
        <v>256</v>
      </c>
      <c r="W53" s="362" t="s">
        <v>256</v>
      </c>
      <c r="X53" s="362" t="s">
        <v>256</v>
      </c>
      <c r="Y53" s="362" t="s">
        <v>284</v>
      </c>
      <c r="Z53" s="362" t="s">
        <v>256</v>
      </c>
      <c r="AA53" s="362" t="s">
        <v>256</v>
      </c>
      <c r="AB53" s="362" t="s">
        <v>256</v>
      </c>
      <c r="AC53" s="362" t="s">
        <v>256</v>
      </c>
      <c r="AD53" s="362" t="s">
        <v>256</v>
      </c>
      <c r="AE53" s="362" t="s">
        <v>256</v>
      </c>
      <c r="AF53" s="362" t="s">
        <v>256</v>
      </c>
      <c r="AG53" s="362" t="s">
        <v>256</v>
      </c>
      <c r="AH53" s="362" t="s">
        <v>256</v>
      </c>
      <c r="AI53" s="362" t="s">
        <v>256</v>
      </c>
      <c r="AJ53" s="362" t="s">
        <v>248</v>
      </c>
      <c r="AK53" s="362" t="s">
        <v>259</v>
      </c>
      <c r="AL53" s="362" t="s">
        <v>259</v>
      </c>
      <c r="AM53" s="362" t="s">
        <v>251</v>
      </c>
      <c r="AN53" s="362" t="s">
        <v>256</v>
      </c>
      <c r="AO53" s="362" t="s">
        <v>259</v>
      </c>
      <c r="AP53" s="362" t="s">
        <v>251</v>
      </c>
      <c r="AQ53" s="362" t="s">
        <v>256</v>
      </c>
      <c r="AR53" s="362" t="s">
        <v>256</v>
      </c>
      <c r="AS53" s="362" t="s">
        <v>285</v>
      </c>
      <c r="AT53" s="362" t="s">
        <v>259</v>
      </c>
      <c r="AU53" s="362" t="s">
        <v>284</v>
      </c>
      <c r="AV53" s="362" t="s">
        <v>259</v>
      </c>
      <c r="AW53" s="362" t="s">
        <v>256</v>
      </c>
      <c r="AX53" s="362" t="s">
        <v>256</v>
      </c>
      <c r="AY53" s="362" t="s">
        <v>256</v>
      </c>
      <c r="AZ53" s="362" t="s">
        <v>256</v>
      </c>
      <c r="BA53" s="362" t="s">
        <v>256</v>
      </c>
      <c r="BB53" s="362" t="s">
        <v>259</v>
      </c>
      <c r="BC53" s="362" t="s">
        <v>286</v>
      </c>
      <c r="BD53" s="362" t="s">
        <v>248</v>
      </c>
      <c r="BE53" s="362" t="s">
        <v>259</v>
      </c>
      <c r="BF53" s="362" t="s">
        <v>248</v>
      </c>
      <c r="BG53" s="362" t="s">
        <v>256</v>
      </c>
      <c r="BH53" s="362" t="s">
        <v>256</v>
      </c>
      <c r="BI53" s="362" t="s">
        <v>256</v>
      </c>
      <c r="BJ53" s="362" t="s">
        <v>256</v>
      </c>
      <c r="BK53" s="362" t="s">
        <v>256</v>
      </c>
      <c r="BL53" s="362" t="s">
        <v>256</v>
      </c>
      <c r="BM53" s="362" t="s">
        <v>259</v>
      </c>
      <c r="BN53" s="362" t="s">
        <v>256</v>
      </c>
      <c r="BO53" s="362" t="s">
        <v>259</v>
      </c>
      <c r="BP53" s="362" t="s">
        <v>284</v>
      </c>
      <c r="BQ53" s="362" t="s">
        <v>256</v>
      </c>
      <c r="BR53" s="362" t="s">
        <v>256</v>
      </c>
      <c r="BS53" s="362" t="s">
        <v>256</v>
      </c>
      <c r="BT53" s="362" t="s">
        <v>284</v>
      </c>
      <c r="BU53" s="362">
        <v>2.2200000000000002</v>
      </c>
      <c r="BV53" s="362" t="s">
        <v>248</v>
      </c>
      <c r="BW53" s="362" t="s">
        <v>285</v>
      </c>
      <c r="BX53" s="362" t="s">
        <v>287</v>
      </c>
      <c r="BY53" s="362" t="s">
        <v>259</v>
      </c>
      <c r="BZ53" s="362" t="s">
        <v>259</v>
      </c>
      <c r="CA53" s="362">
        <v>7.6</v>
      </c>
      <c r="CB53" s="362">
        <v>1.6</v>
      </c>
      <c r="CC53" s="362">
        <v>307</v>
      </c>
      <c r="CD53" s="362" t="s">
        <v>230</v>
      </c>
      <c r="CE53" s="362">
        <v>0.21</v>
      </c>
      <c r="CF53" s="362">
        <v>2.2999999999999998</v>
      </c>
      <c r="CG53" s="362">
        <v>1</v>
      </c>
      <c r="CH53" s="362">
        <v>1180</v>
      </c>
      <c r="CI53" s="362">
        <v>270</v>
      </c>
      <c r="CJ53" s="362" t="s">
        <v>254</v>
      </c>
      <c r="CK53" s="362">
        <v>99.9</v>
      </c>
      <c r="CL53" s="362">
        <v>210</v>
      </c>
      <c r="CM53" s="362" t="s">
        <v>288</v>
      </c>
      <c r="CN53" s="362" t="s">
        <v>288</v>
      </c>
      <c r="CO53" s="362">
        <v>11</v>
      </c>
      <c r="CP53" s="362">
        <v>1.5</v>
      </c>
      <c r="CQ53" s="362" t="s">
        <v>254</v>
      </c>
      <c r="CR53" s="362" t="s">
        <v>254</v>
      </c>
      <c r="CS53" s="362">
        <v>3.2</v>
      </c>
      <c r="CT53" s="362" t="s">
        <v>284</v>
      </c>
      <c r="CU53" s="362" t="s">
        <v>153</v>
      </c>
      <c r="CV53" s="362">
        <v>390</v>
      </c>
      <c r="CW53" s="362">
        <v>1.4</v>
      </c>
      <c r="CX53" s="362">
        <v>0.48</v>
      </c>
      <c r="CY53" s="362">
        <v>9.2999999999999999E-2</v>
      </c>
      <c r="CZ53" s="362">
        <v>7.81</v>
      </c>
      <c r="DA53" s="362">
        <v>0.69</v>
      </c>
      <c r="DB53" s="362">
        <v>4200</v>
      </c>
      <c r="DC53" s="362">
        <v>1200</v>
      </c>
      <c r="DD53" s="362">
        <v>22.4</v>
      </c>
      <c r="DE53" s="362">
        <v>2500</v>
      </c>
      <c r="DF53" s="362" t="s">
        <v>289</v>
      </c>
      <c r="DG53" s="362">
        <v>4.9000000000000004</v>
      </c>
      <c r="DH53" s="362">
        <v>0.92</v>
      </c>
      <c r="DI53" s="362">
        <v>710</v>
      </c>
      <c r="DJ53" s="362">
        <v>3100</v>
      </c>
      <c r="DK53" s="362">
        <v>4000</v>
      </c>
      <c r="DL53" s="362" t="s">
        <v>334</v>
      </c>
      <c r="DM53" s="362">
        <v>7.36</v>
      </c>
      <c r="DN53" s="362">
        <v>7.79</v>
      </c>
      <c r="DO53" s="362">
        <v>5106</v>
      </c>
      <c r="DP53" s="362">
        <v>19.8</v>
      </c>
      <c r="DQ53" s="362">
        <v>1.88</v>
      </c>
    </row>
    <row r="54" spans="1:121" hidden="1" x14ac:dyDescent="0.25">
      <c r="A54" s="362" t="s">
        <v>344</v>
      </c>
      <c r="B54" s="56" t="str">
        <f>VLOOKUP(Table3[[#This Row],[Station]], StationName, 2, FALSE)</f>
        <v>J01-9224-1 (J01P24)</v>
      </c>
      <c r="C54" s="362">
        <v>1721011</v>
      </c>
      <c r="D54" s="221">
        <v>44343.46597222222</v>
      </c>
      <c r="E54" s="362" t="s">
        <v>293</v>
      </c>
      <c r="F54" s="362" t="s">
        <v>294</v>
      </c>
      <c r="G54" s="362" t="s">
        <v>294</v>
      </c>
      <c r="H54" s="362" t="s">
        <v>294</v>
      </c>
      <c r="I54" s="362" t="s">
        <v>294</v>
      </c>
      <c r="J54" s="362" t="s">
        <v>294</v>
      </c>
      <c r="K54" s="362" t="s">
        <v>294</v>
      </c>
      <c r="L54" s="362" t="s">
        <v>294</v>
      </c>
      <c r="M54" s="362" t="s">
        <v>294</v>
      </c>
      <c r="N54" s="362" t="s">
        <v>294</v>
      </c>
      <c r="O54" s="362" t="s">
        <v>294</v>
      </c>
      <c r="P54" s="362" t="s">
        <v>294</v>
      </c>
      <c r="Q54" s="362" t="s">
        <v>294</v>
      </c>
      <c r="R54" s="362" t="s">
        <v>294</v>
      </c>
      <c r="S54" s="362" t="s">
        <v>294</v>
      </c>
      <c r="T54" s="362" t="s">
        <v>294</v>
      </c>
      <c r="U54" s="362" t="s">
        <v>294</v>
      </c>
      <c r="V54" s="362" t="s">
        <v>294</v>
      </c>
      <c r="W54" s="362" t="s">
        <v>294</v>
      </c>
      <c r="X54" s="362" t="s">
        <v>294</v>
      </c>
      <c r="Y54" s="362" t="s">
        <v>294</v>
      </c>
      <c r="Z54" s="362" t="s">
        <v>294</v>
      </c>
      <c r="AA54" s="362" t="s">
        <v>294</v>
      </c>
      <c r="AB54" s="362" t="s">
        <v>294</v>
      </c>
      <c r="AC54" s="362" t="s">
        <v>294</v>
      </c>
      <c r="AD54" s="362" t="s">
        <v>294</v>
      </c>
      <c r="AE54" s="362" t="s">
        <v>294</v>
      </c>
      <c r="AF54" s="362" t="s">
        <v>294</v>
      </c>
      <c r="AG54" s="362" t="s">
        <v>294</v>
      </c>
      <c r="AH54" s="362" t="s">
        <v>294</v>
      </c>
      <c r="AI54" s="362" t="s">
        <v>294</v>
      </c>
      <c r="AJ54" s="362" t="s">
        <v>294</v>
      </c>
      <c r="AK54" s="362" t="s">
        <v>294</v>
      </c>
      <c r="AL54" s="362" t="s">
        <v>294</v>
      </c>
      <c r="AM54" s="362" t="s">
        <v>294</v>
      </c>
      <c r="AN54" s="362" t="s">
        <v>294</v>
      </c>
      <c r="AO54" s="362" t="s">
        <v>294</v>
      </c>
      <c r="AP54" s="362" t="s">
        <v>294</v>
      </c>
      <c r="AQ54" s="362" t="s">
        <v>294</v>
      </c>
      <c r="AR54" s="362" t="s">
        <v>294</v>
      </c>
      <c r="AS54" s="362" t="s">
        <v>294</v>
      </c>
      <c r="AT54" s="362" t="s">
        <v>294</v>
      </c>
      <c r="AU54" s="362" t="s">
        <v>294</v>
      </c>
      <c r="AV54" s="362" t="s">
        <v>294</v>
      </c>
      <c r="AW54" s="362" t="s">
        <v>294</v>
      </c>
      <c r="AX54" s="362" t="s">
        <v>294</v>
      </c>
      <c r="AY54" s="362" t="s">
        <v>294</v>
      </c>
      <c r="AZ54" s="362" t="s">
        <v>294</v>
      </c>
      <c r="BA54" s="362" t="s">
        <v>294</v>
      </c>
      <c r="BB54" s="362" t="s">
        <v>294</v>
      </c>
      <c r="BC54" s="362" t="s">
        <v>294</v>
      </c>
      <c r="BD54" s="362" t="s">
        <v>294</v>
      </c>
      <c r="BE54" s="362" t="s">
        <v>294</v>
      </c>
      <c r="BF54" s="362" t="s">
        <v>294</v>
      </c>
      <c r="BG54" s="362" t="s">
        <v>294</v>
      </c>
      <c r="BH54" s="362" t="s">
        <v>294</v>
      </c>
      <c r="BI54" s="362" t="s">
        <v>294</v>
      </c>
      <c r="BJ54" s="362" t="s">
        <v>294</v>
      </c>
      <c r="BK54" s="362" t="s">
        <v>294</v>
      </c>
      <c r="BL54" s="362" t="s">
        <v>294</v>
      </c>
      <c r="BM54" s="362" t="s">
        <v>294</v>
      </c>
      <c r="BN54" s="362" t="s">
        <v>294</v>
      </c>
      <c r="BO54" s="362" t="s">
        <v>294</v>
      </c>
      <c r="BP54" s="362" t="s">
        <v>294</v>
      </c>
      <c r="BQ54" s="362" t="s">
        <v>294</v>
      </c>
      <c r="BR54" s="362" t="s">
        <v>294</v>
      </c>
      <c r="BS54" s="362" t="s">
        <v>294</v>
      </c>
      <c r="BT54" s="362" t="s">
        <v>294</v>
      </c>
      <c r="BU54" s="362" t="s">
        <v>294</v>
      </c>
      <c r="BV54" s="362" t="s">
        <v>294</v>
      </c>
      <c r="BW54" s="362" t="s">
        <v>294</v>
      </c>
      <c r="BX54" s="362" t="s">
        <v>294</v>
      </c>
      <c r="BY54" s="362" t="s">
        <v>294</v>
      </c>
      <c r="BZ54" s="362" t="s">
        <v>294</v>
      </c>
      <c r="CA54" s="362">
        <v>6.5</v>
      </c>
      <c r="CB54" s="362">
        <v>1.5</v>
      </c>
      <c r="CC54" s="362">
        <v>308</v>
      </c>
      <c r="CD54" s="362" t="s">
        <v>230</v>
      </c>
      <c r="CE54" s="362" t="s">
        <v>254</v>
      </c>
      <c r="CF54" s="362">
        <v>2.1</v>
      </c>
      <c r="CG54" s="362" t="s">
        <v>294</v>
      </c>
      <c r="CH54" s="362">
        <v>1190</v>
      </c>
      <c r="CI54" s="362" t="s">
        <v>286</v>
      </c>
      <c r="CJ54" s="362" t="s">
        <v>254</v>
      </c>
      <c r="CK54" s="362">
        <v>102</v>
      </c>
      <c r="CL54" s="362">
        <v>160</v>
      </c>
      <c r="CM54" s="362" t="s">
        <v>294</v>
      </c>
      <c r="CN54" s="362" t="s">
        <v>288</v>
      </c>
      <c r="CO54" s="362">
        <v>11</v>
      </c>
      <c r="CP54" s="362">
        <v>1.5</v>
      </c>
      <c r="CQ54" s="362" t="s">
        <v>254</v>
      </c>
      <c r="CR54" s="362" t="s">
        <v>254</v>
      </c>
      <c r="CS54" s="362" t="s">
        <v>294</v>
      </c>
      <c r="CT54" s="362" t="s">
        <v>284</v>
      </c>
      <c r="CU54" s="362" t="s">
        <v>294</v>
      </c>
      <c r="CV54" s="362" t="s">
        <v>294</v>
      </c>
      <c r="CW54" s="362" t="s">
        <v>294</v>
      </c>
      <c r="CX54" s="362" t="s">
        <v>294</v>
      </c>
      <c r="CY54" s="362" t="s">
        <v>294</v>
      </c>
      <c r="CZ54" s="362" t="s">
        <v>294</v>
      </c>
      <c r="DA54" s="362" t="s">
        <v>294</v>
      </c>
      <c r="DB54" s="362" t="s">
        <v>294</v>
      </c>
      <c r="DC54" s="362" t="s">
        <v>294</v>
      </c>
      <c r="DD54" s="362" t="s">
        <v>294</v>
      </c>
      <c r="DE54" s="362" t="s">
        <v>294</v>
      </c>
      <c r="DF54" s="362" t="s">
        <v>294</v>
      </c>
      <c r="DG54" s="362" t="s">
        <v>294</v>
      </c>
      <c r="DH54" s="362" t="s">
        <v>294</v>
      </c>
      <c r="DI54" s="362" t="s">
        <v>294</v>
      </c>
      <c r="DJ54" s="362" t="s">
        <v>294</v>
      </c>
      <c r="DK54" s="362" t="s">
        <v>294</v>
      </c>
      <c r="DL54" s="362" t="s">
        <v>294</v>
      </c>
      <c r="DM54" s="362" t="s">
        <v>294</v>
      </c>
      <c r="DN54" s="362" t="s">
        <v>294</v>
      </c>
      <c r="DO54" s="362" t="s">
        <v>294</v>
      </c>
      <c r="DP54" s="362" t="s">
        <v>294</v>
      </c>
      <c r="DQ54" s="362" t="s">
        <v>294</v>
      </c>
    </row>
    <row r="55" spans="1:121" x14ac:dyDescent="0.25">
      <c r="A55" s="362" t="s">
        <v>345</v>
      </c>
      <c r="B55" s="56" t="str">
        <f>VLOOKUP(Table3[[#This Row],[Station]], StationName, 2, FALSE)</f>
        <v>J01-9224-2 (J01P25)</v>
      </c>
      <c r="C55" s="362">
        <v>1721006</v>
      </c>
      <c r="D55" s="221">
        <v>44343.488888888889</v>
      </c>
      <c r="E55" s="362" t="s">
        <v>283</v>
      </c>
      <c r="F55" s="362">
        <v>74</v>
      </c>
      <c r="G55" s="362">
        <v>91</v>
      </c>
      <c r="H55" s="362">
        <v>97</v>
      </c>
      <c r="I55" s="362">
        <v>90</v>
      </c>
      <c r="J55" s="362">
        <v>63</v>
      </c>
      <c r="K55" s="362">
        <v>78</v>
      </c>
      <c r="L55" s="362">
        <v>92</v>
      </c>
      <c r="M55" s="362">
        <v>94</v>
      </c>
      <c r="N55" s="362">
        <v>57</v>
      </c>
      <c r="O55" s="362" t="s">
        <v>259</v>
      </c>
      <c r="P55" s="362" t="s">
        <v>259</v>
      </c>
      <c r="Q55" s="362" t="s">
        <v>259</v>
      </c>
      <c r="R55" s="362" t="s">
        <v>259</v>
      </c>
      <c r="S55" s="362" t="s">
        <v>259</v>
      </c>
      <c r="T55" s="362" t="s">
        <v>259</v>
      </c>
      <c r="U55" s="362" t="s">
        <v>256</v>
      </c>
      <c r="V55" s="362" t="s">
        <v>256</v>
      </c>
      <c r="W55" s="362" t="s">
        <v>256</v>
      </c>
      <c r="X55" s="362" t="s">
        <v>256</v>
      </c>
      <c r="Y55" s="362" t="s">
        <v>284</v>
      </c>
      <c r="Z55" s="362" t="s">
        <v>256</v>
      </c>
      <c r="AA55" s="362" t="s">
        <v>256</v>
      </c>
      <c r="AB55" s="362" t="s">
        <v>256</v>
      </c>
      <c r="AC55" s="362">
        <v>4.43</v>
      </c>
      <c r="AD55" s="362" t="s">
        <v>256</v>
      </c>
      <c r="AE55" s="362" t="s">
        <v>256</v>
      </c>
      <c r="AF55" s="362" t="s">
        <v>256</v>
      </c>
      <c r="AG55" s="362" t="s">
        <v>256</v>
      </c>
      <c r="AH55" s="362" t="s">
        <v>256</v>
      </c>
      <c r="AI55" s="362" t="s">
        <v>256</v>
      </c>
      <c r="AJ55" s="362" t="s">
        <v>248</v>
      </c>
      <c r="AK55" s="362" t="s">
        <v>259</v>
      </c>
      <c r="AL55" s="362" t="s">
        <v>259</v>
      </c>
      <c r="AM55" s="362" t="s">
        <v>251</v>
      </c>
      <c r="AN55" s="362" t="s">
        <v>256</v>
      </c>
      <c r="AO55" s="362" t="s">
        <v>259</v>
      </c>
      <c r="AP55" s="362" t="s">
        <v>251</v>
      </c>
      <c r="AQ55" s="362" t="s">
        <v>256</v>
      </c>
      <c r="AR55" s="362" t="s">
        <v>256</v>
      </c>
      <c r="AS55" s="362" t="s">
        <v>285</v>
      </c>
      <c r="AT55" s="362" t="s">
        <v>259</v>
      </c>
      <c r="AU55" s="362" t="s">
        <v>284</v>
      </c>
      <c r="AV55" s="362" t="s">
        <v>259</v>
      </c>
      <c r="AW55" s="362" t="s">
        <v>256</v>
      </c>
      <c r="AX55" s="362" t="s">
        <v>256</v>
      </c>
      <c r="AY55" s="362" t="s">
        <v>256</v>
      </c>
      <c r="AZ55" s="362" t="s">
        <v>256</v>
      </c>
      <c r="BA55" s="362" t="s">
        <v>256</v>
      </c>
      <c r="BB55" s="362" t="s">
        <v>259</v>
      </c>
      <c r="BC55" s="362" t="s">
        <v>286</v>
      </c>
      <c r="BD55" s="362" t="s">
        <v>248</v>
      </c>
      <c r="BE55" s="362" t="s">
        <v>259</v>
      </c>
      <c r="BF55" s="362" t="s">
        <v>248</v>
      </c>
      <c r="BG55" s="362" t="s">
        <v>256</v>
      </c>
      <c r="BH55" s="362" t="s">
        <v>256</v>
      </c>
      <c r="BI55" s="362" t="s">
        <v>256</v>
      </c>
      <c r="BJ55" s="362" t="s">
        <v>256</v>
      </c>
      <c r="BK55" s="362" t="s">
        <v>256</v>
      </c>
      <c r="BL55" s="362" t="s">
        <v>256</v>
      </c>
      <c r="BM55" s="362" t="s">
        <v>259</v>
      </c>
      <c r="BN55" s="362" t="s">
        <v>256</v>
      </c>
      <c r="BO55" s="362" t="s">
        <v>259</v>
      </c>
      <c r="BP55" s="362" t="s">
        <v>284</v>
      </c>
      <c r="BQ55" s="362" t="s">
        <v>256</v>
      </c>
      <c r="BR55" s="362" t="s">
        <v>256</v>
      </c>
      <c r="BS55" s="362" t="s">
        <v>256</v>
      </c>
      <c r="BT55" s="362" t="s">
        <v>284</v>
      </c>
      <c r="BU55" s="362" t="s">
        <v>256</v>
      </c>
      <c r="BV55" s="362" t="s">
        <v>248</v>
      </c>
      <c r="BW55" s="362" t="s">
        <v>285</v>
      </c>
      <c r="BX55" s="362" t="s">
        <v>287</v>
      </c>
      <c r="BY55" s="362" t="s">
        <v>259</v>
      </c>
      <c r="BZ55" s="362" t="s">
        <v>259</v>
      </c>
      <c r="CA55" s="362">
        <v>6.1</v>
      </c>
      <c r="CB55" s="362">
        <v>0.63</v>
      </c>
      <c r="CC55" s="362" t="s">
        <v>294</v>
      </c>
      <c r="CD55" s="362" t="s">
        <v>230</v>
      </c>
      <c r="CE55" s="362" t="s">
        <v>254</v>
      </c>
      <c r="CF55" s="362">
        <v>1.1000000000000001</v>
      </c>
      <c r="CG55" s="362">
        <v>1</v>
      </c>
      <c r="CH55" s="362" t="s">
        <v>294</v>
      </c>
      <c r="CI55" s="362">
        <v>45</v>
      </c>
      <c r="CJ55" s="362" t="s">
        <v>254</v>
      </c>
      <c r="CK55" s="362" t="s">
        <v>294</v>
      </c>
      <c r="CL55" s="362">
        <v>180</v>
      </c>
      <c r="CM55" s="362" t="s">
        <v>288</v>
      </c>
      <c r="CN55" s="362" t="s">
        <v>288</v>
      </c>
      <c r="CO55" s="362">
        <v>3.5</v>
      </c>
      <c r="CP55" s="362" t="s">
        <v>258</v>
      </c>
      <c r="CQ55" s="362" t="s">
        <v>254</v>
      </c>
      <c r="CR55" s="362" t="s">
        <v>254</v>
      </c>
      <c r="CS55" s="362">
        <v>1.7</v>
      </c>
      <c r="CT55" s="362" t="s">
        <v>284</v>
      </c>
      <c r="CU55" s="362">
        <v>0.31</v>
      </c>
      <c r="CV55" s="362">
        <v>270</v>
      </c>
      <c r="CW55" s="362">
        <v>0.17</v>
      </c>
      <c r="CX55" s="362">
        <v>0.42</v>
      </c>
      <c r="CY55" s="362">
        <v>0.14000000000000001</v>
      </c>
      <c r="CZ55" s="362">
        <v>7.65</v>
      </c>
      <c r="DA55" s="362">
        <v>0.78</v>
      </c>
      <c r="DB55" s="362">
        <v>3000</v>
      </c>
      <c r="DC55" s="362">
        <v>680</v>
      </c>
      <c r="DD55" s="362">
        <v>22.4</v>
      </c>
      <c r="DE55" s="362">
        <v>1700</v>
      </c>
      <c r="DF55" s="362" t="s">
        <v>309</v>
      </c>
      <c r="DG55" s="362">
        <v>0.7</v>
      </c>
      <c r="DH55" s="362">
        <v>0.44</v>
      </c>
      <c r="DI55" s="362">
        <v>40</v>
      </c>
      <c r="DJ55" s="362" t="s">
        <v>346</v>
      </c>
      <c r="DK55" s="362">
        <v>20</v>
      </c>
      <c r="DL55" s="362" t="s">
        <v>347</v>
      </c>
      <c r="DM55" s="362">
        <v>6.02</v>
      </c>
      <c r="DN55" s="362">
        <v>7.57</v>
      </c>
      <c r="DO55" s="362">
        <v>3652</v>
      </c>
      <c r="DP55" s="362">
        <v>21.3</v>
      </c>
      <c r="DQ55" s="362" t="s">
        <v>294</v>
      </c>
    </row>
    <row r="56" spans="1:121" hidden="1" x14ac:dyDescent="0.25">
      <c r="A56" s="362" t="s">
        <v>345</v>
      </c>
      <c r="B56" s="56" t="str">
        <f>VLOOKUP(Table3[[#This Row],[Station]], StationName, 2, FALSE)</f>
        <v>J01-9224-2 (J01P25)</v>
      </c>
      <c r="C56" s="362">
        <v>1721012</v>
      </c>
      <c r="D56" s="221">
        <v>44343.488888888889</v>
      </c>
      <c r="E56" s="362" t="s">
        <v>293</v>
      </c>
      <c r="F56" s="362" t="s">
        <v>294</v>
      </c>
      <c r="G56" s="362" t="s">
        <v>294</v>
      </c>
      <c r="H56" s="362" t="s">
        <v>294</v>
      </c>
      <c r="I56" s="362" t="s">
        <v>294</v>
      </c>
      <c r="J56" s="362" t="s">
        <v>294</v>
      </c>
      <c r="K56" s="362" t="s">
        <v>294</v>
      </c>
      <c r="L56" s="362" t="s">
        <v>294</v>
      </c>
      <c r="M56" s="362" t="s">
        <v>294</v>
      </c>
      <c r="N56" s="362" t="s">
        <v>294</v>
      </c>
      <c r="O56" s="362" t="s">
        <v>294</v>
      </c>
      <c r="P56" s="362" t="s">
        <v>294</v>
      </c>
      <c r="Q56" s="362" t="s">
        <v>294</v>
      </c>
      <c r="R56" s="362" t="s">
        <v>294</v>
      </c>
      <c r="S56" s="362" t="s">
        <v>294</v>
      </c>
      <c r="T56" s="362" t="s">
        <v>294</v>
      </c>
      <c r="U56" s="362" t="s">
        <v>294</v>
      </c>
      <c r="V56" s="362" t="s">
        <v>294</v>
      </c>
      <c r="W56" s="362" t="s">
        <v>294</v>
      </c>
      <c r="X56" s="362" t="s">
        <v>294</v>
      </c>
      <c r="Y56" s="362" t="s">
        <v>294</v>
      </c>
      <c r="Z56" s="362" t="s">
        <v>294</v>
      </c>
      <c r="AA56" s="362" t="s">
        <v>294</v>
      </c>
      <c r="AB56" s="362" t="s">
        <v>294</v>
      </c>
      <c r="AC56" s="362" t="s">
        <v>294</v>
      </c>
      <c r="AD56" s="362" t="s">
        <v>294</v>
      </c>
      <c r="AE56" s="362" t="s">
        <v>294</v>
      </c>
      <c r="AF56" s="362" t="s">
        <v>294</v>
      </c>
      <c r="AG56" s="362" t="s">
        <v>294</v>
      </c>
      <c r="AH56" s="362" t="s">
        <v>294</v>
      </c>
      <c r="AI56" s="362" t="s">
        <v>294</v>
      </c>
      <c r="AJ56" s="362" t="s">
        <v>294</v>
      </c>
      <c r="AK56" s="362" t="s">
        <v>294</v>
      </c>
      <c r="AL56" s="362" t="s">
        <v>294</v>
      </c>
      <c r="AM56" s="362" t="s">
        <v>294</v>
      </c>
      <c r="AN56" s="362" t="s">
        <v>294</v>
      </c>
      <c r="AO56" s="362" t="s">
        <v>294</v>
      </c>
      <c r="AP56" s="362" t="s">
        <v>294</v>
      </c>
      <c r="AQ56" s="362" t="s">
        <v>294</v>
      </c>
      <c r="AR56" s="362" t="s">
        <v>294</v>
      </c>
      <c r="AS56" s="362" t="s">
        <v>294</v>
      </c>
      <c r="AT56" s="362" t="s">
        <v>294</v>
      </c>
      <c r="AU56" s="362" t="s">
        <v>294</v>
      </c>
      <c r="AV56" s="362" t="s">
        <v>294</v>
      </c>
      <c r="AW56" s="362" t="s">
        <v>294</v>
      </c>
      <c r="AX56" s="362" t="s">
        <v>294</v>
      </c>
      <c r="AY56" s="362" t="s">
        <v>294</v>
      </c>
      <c r="AZ56" s="362" t="s">
        <v>294</v>
      </c>
      <c r="BA56" s="362" t="s">
        <v>294</v>
      </c>
      <c r="BB56" s="362" t="s">
        <v>294</v>
      </c>
      <c r="BC56" s="362" t="s">
        <v>294</v>
      </c>
      <c r="BD56" s="362" t="s">
        <v>294</v>
      </c>
      <c r="BE56" s="362" t="s">
        <v>294</v>
      </c>
      <c r="BF56" s="362" t="s">
        <v>294</v>
      </c>
      <c r="BG56" s="362" t="s">
        <v>294</v>
      </c>
      <c r="BH56" s="362" t="s">
        <v>294</v>
      </c>
      <c r="BI56" s="362" t="s">
        <v>294</v>
      </c>
      <c r="BJ56" s="362" t="s">
        <v>294</v>
      </c>
      <c r="BK56" s="362" t="s">
        <v>294</v>
      </c>
      <c r="BL56" s="362" t="s">
        <v>294</v>
      </c>
      <c r="BM56" s="362" t="s">
        <v>294</v>
      </c>
      <c r="BN56" s="362" t="s">
        <v>294</v>
      </c>
      <c r="BO56" s="362" t="s">
        <v>294</v>
      </c>
      <c r="BP56" s="362" t="s">
        <v>294</v>
      </c>
      <c r="BQ56" s="362" t="s">
        <v>294</v>
      </c>
      <c r="BR56" s="362" t="s">
        <v>294</v>
      </c>
      <c r="BS56" s="362" t="s">
        <v>294</v>
      </c>
      <c r="BT56" s="362" t="s">
        <v>294</v>
      </c>
      <c r="BU56" s="362" t="s">
        <v>294</v>
      </c>
      <c r="BV56" s="362" t="s">
        <v>294</v>
      </c>
      <c r="BW56" s="362" t="s">
        <v>294</v>
      </c>
      <c r="BX56" s="362" t="s">
        <v>294</v>
      </c>
      <c r="BY56" s="362" t="s">
        <v>294</v>
      </c>
      <c r="BZ56" s="362" t="s">
        <v>294</v>
      </c>
      <c r="CA56" s="362">
        <v>6</v>
      </c>
      <c r="CB56" s="362">
        <v>0.41</v>
      </c>
      <c r="CC56" s="362" t="s">
        <v>294</v>
      </c>
      <c r="CD56" s="362" t="s">
        <v>230</v>
      </c>
      <c r="CE56" s="362" t="s">
        <v>254</v>
      </c>
      <c r="CF56" s="362">
        <v>0.59</v>
      </c>
      <c r="CG56" s="362" t="s">
        <v>294</v>
      </c>
      <c r="CH56" s="362" t="s">
        <v>294</v>
      </c>
      <c r="CI56" s="362">
        <v>32</v>
      </c>
      <c r="CJ56" s="362" t="s">
        <v>254</v>
      </c>
      <c r="CK56" s="362" t="s">
        <v>294</v>
      </c>
      <c r="CL56" s="362">
        <v>180</v>
      </c>
      <c r="CM56" s="362" t="s">
        <v>294</v>
      </c>
      <c r="CN56" s="362" t="s">
        <v>288</v>
      </c>
      <c r="CO56" s="362">
        <v>3.5</v>
      </c>
      <c r="CP56" s="362" t="s">
        <v>258</v>
      </c>
      <c r="CQ56" s="362" t="s">
        <v>254</v>
      </c>
      <c r="CR56" s="362" t="s">
        <v>254</v>
      </c>
      <c r="CS56" s="362" t="s">
        <v>294</v>
      </c>
      <c r="CT56" s="362" t="s">
        <v>284</v>
      </c>
      <c r="CU56" s="362" t="s">
        <v>294</v>
      </c>
      <c r="CV56" s="362" t="s">
        <v>294</v>
      </c>
      <c r="CW56" s="362" t="s">
        <v>294</v>
      </c>
      <c r="CX56" s="362" t="s">
        <v>294</v>
      </c>
      <c r="CY56" s="362" t="s">
        <v>294</v>
      </c>
      <c r="CZ56" s="362" t="s">
        <v>294</v>
      </c>
      <c r="DA56" s="362" t="s">
        <v>294</v>
      </c>
      <c r="DB56" s="362" t="s">
        <v>294</v>
      </c>
      <c r="DC56" s="362" t="s">
        <v>294</v>
      </c>
      <c r="DD56" s="362" t="s">
        <v>294</v>
      </c>
      <c r="DE56" s="362" t="s">
        <v>294</v>
      </c>
      <c r="DF56" s="362" t="s">
        <v>294</v>
      </c>
      <c r="DG56" s="362" t="s">
        <v>294</v>
      </c>
      <c r="DH56" s="362" t="s">
        <v>294</v>
      </c>
      <c r="DI56" s="362" t="s">
        <v>294</v>
      </c>
      <c r="DJ56" s="362" t="s">
        <v>294</v>
      </c>
      <c r="DK56" s="362" t="s">
        <v>294</v>
      </c>
      <c r="DL56" s="362" t="s">
        <v>294</v>
      </c>
      <c r="DM56" s="362" t="s">
        <v>294</v>
      </c>
      <c r="DN56" s="362" t="s">
        <v>294</v>
      </c>
      <c r="DO56" s="362" t="s">
        <v>294</v>
      </c>
      <c r="DP56" s="362" t="s">
        <v>294</v>
      </c>
      <c r="DQ56" s="362" t="s">
        <v>294</v>
      </c>
    </row>
    <row r="57" spans="1:121" x14ac:dyDescent="0.25">
      <c r="A57" s="362" t="s">
        <v>170</v>
      </c>
      <c r="B57" s="56" t="str">
        <f>VLOOKUP(Table3[[#This Row],[Station]], StationName, 2, FALSE)</f>
        <v>L01-749-2</v>
      </c>
      <c r="C57" s="362">
        <v>1727002</v>
      </c>
      <c r="D57" s="221">
        <v>44348.308333333334</v>
      </c>
      <c r="E57" s="362" t="s">
        <v>283</v>
      </c>
      <c r="F57" s="362">
        <v>75</v>
      </c>
      <c r="G57" s="362">
        <v>94</v>
      </c>
      <c r="H57" s="362">
        <v>96</v>
      </c>
      <c r="I57" s="362">
        <v>95</v>
      </c>
      <c r="J57" s="362">
        <v>59</v>
      </c>
      <c r="K57" s="362">
        <v>77</v>
      </c>
      <c r="L57" s="362">
        <v>85</v>
      </c>
      <c r="M57" s="362">
        <v>85</v>
      </c>
      <c r="N57" s="362">
        <v>72</v>
      </c>
      <c r="O57" s="362" t="s">
        <v>259</v>
      </c>
      <c r="P57" s="362" t="s">
        <v>259</v>
      </c>
      <c r="Q57" s="362" t="s">
        <v>259</v>
      </c>
      <c r="R57" s="362" t="s">
        <v>259</v>
      </c>
      <c r="S57" s="362" t="s">
        <v>259</v>
      </c>
      <c r="T57" s="362" t="s">
        <v>259</v>
      </c>
      <c r="U57" s="362" t="s">
        <v>256</v>
      </c>
      <c r="V57" s="362" t="s">
        <v>256</v>
      </c>
      <c r="W57" s="362" t="s">
        <v>256</v>
      </c>
      <c r="X57" s="362" t="s">
        <v>256</v>
      </c>
      <c r="Y57" s="362" t="s">
        <v>284</v>
      </c>
      <c r="Z57" s="362" t="s">
        <v>256</v>
      </c>
      <c r="AA57" s="362" t="s">
        <v>256</v>
      </c>
      <c r="AB57" s="362" t="s">
        <v>256</v>
      </c>
      <c r="AC57" s="362" t="s">
        <v>256</v>
      </c>
      <c r="AD57" s="362" t="s">
        <v>256</v>
      </c>
      <c r="AE57" s="362" t="s">
        <v>256</v>
      </c>
      <c r="AF57" s="362" t="s">
        <v>256</v>
      </c>
      <c r="AG57" s="362" t="s">
        <v>256</v>
      </c>
      <c r="AH57" s="362" t="s">
        <v>256</v>
      </c>
      <c r="AI57" s="362" t="s">
        <v>256</v>
      </c>
      <c r="AJ57" s="362" t="s">
        <v>248</v>
      </c>
      <c r="AK57" s="362" t="s">
        <v>259</v>
      </c>
      <c r="AL57" s="362" t="s">
        <v>259</v>
      </c>
      <c r="AM57" s="362" t="s">
        <v>251</v>
      </c>
      <c r="AN57" s="362" t="s">
        <v>256</v>
      </c>
      <c r="AO57" s="362" t="s">
        <v>259</v>
      </c>
      <c r="AP57" s="362" t="s">
        <v>251</v>
      </c>
      <c r="AQ57" s="362" t="s">
        <v>256</v>
      </c>
      <c r="AR57" s="362" t="s">
        <v>256</v>
      </c>
      <c r="AS57" s="362" t="s">
        <v>285</v>
      </c>
      <c r="AT57" s="362" t="s">
        <v>259</v>
      </c>
      <c r="AU57" s="362" t="s">
        <v>284</v>
      </c>
      <c r="AV57" s="362" t="s">
        <v>259</v>
      </c>
      <c r="AW57" s="362" t="s">
        <v>256</v>
      </c>
      <c r="AX57" s="362" t="s">
        <v>256</v>
      </c>
      <c r="AY57" s="362" t="s">
        <v>256</v>
      </c>
      <c r="AZ57" s="362" t="s">
        <v>256</v>
      </c>
      <c r="BA57" s="362" t="s">
        <v>256</v>
      </c>
      <c r="BB57" s="362" t="s">
        <v>259</v>
      </c>
      <c r="BC57" s="362" t="s">
        <v>286</v>
      </c>
      <c r="BD57" s="362" t="s">
        <v>248</v>
      </c>
      <c r="BE57" s="362" t="s">
        <v>259</v>
      </c>
      <c r="BF57" s="362" t="s">
        <v>248</v>
      </c>
      <c r="BG57" s="362">
        <v>1.01</v>
      </c>
      <c r="BH57" s="362" t="s">
        <v>256</v>
      </c>
      <c r="BI57" s="362" t="s">
        <v>256</v>
      </c>
      <c r="BJ57" s="362" t="s">
        <v>256</v>
      </c>
      <c r="BK57" s="362" t="s">
        <v>256</v>
      </c>
      <c r="BL57" s="362" t="s">
        <v>256</v>
      </c>
      <c r="BM57" s="362" t="s">
        <v>259</v>
      </c>
      <c r="BN57" s="362" t="s">
        <v>256</v>
      </c>
      <c r="BO57" s="362" t="s">
        <v>259</v>
      </c>
      <c r="BP57" s="362" t="s">
        <v>284</v>
      </c>
      <c r="BQ57" s="362" t="s">
        <v>256</v>
      </c>
      <c r="BR57" s="362" t="s">
        <v>256</v>
      </c>
      <c r="BS57" s="362">
        <v>1.46</v>
      </c>
      <c r="BT57" s="362" t="s">
        <v>284</v>
      </c>
      <c r="BU57" s="362">
        <v>1.59</v>
      </c>
      <c r="BV57" s="362" t="s">
        <v>248</v>
      </c>
      <c r="BW57" s="362" t="s">
        <v>285</v>
      </c>
      <c r="BX57" s="362" t="s">
        <v>287</v>
      </c>
      <c r="BY57" s="362" t="s">
        <v>259</v>
      </c>
      <c r="BZ57" s="362" t="s">
        <v>259</v>
      </c>
      <c r="CA57" s="362">
        <v>1.2</v>
      </c>
      <c r="CB57" s="362">
        <v>5.8</v>
      </c>
      <c r="CC57" s="362">
        <v>303</v>
      </c>
      <c r="CD57" s="362" t="s">
        <v>230</v>
      </c>
      <c r="CE57" s="362">
        <v>0.35</v>
      </c>
      <c r="CF57" s="362">
        <v>4.3</v>
      </c>
      <c r="CG57" s="362">
        <v>13</v>
      </c>
      <c r="CH57" s="362">
        <v>2370</v>
      </c>
      <c r="CI57" s="362">
        <v>89</v>
      </c>
      <c r="CJ57" s="362" t="s">
        <v>254</v>
      </c>
      <c r="CK57" s="362">
        <v>393</v>
      </c>
      <c r="CL57" s="362">
        <v>330</v>
      </c>
      <c r="CM57" s="362">
        <v>0.05</v>
      </c>
      <c r="CN57" s="362" t="s">
        <v>288</v>
      </c>
      <c r="CO57" s="362">
        <v>61</v>
      </c>
      <c r="CP57" s="362">
        <v>6.4</v>
      </c>
      <c r="CQ57" s="362" t="s">
        <v>254</v>
      </c>
      <c r="CR57" s="362" t="s">
        <v>254</v>
      </c>
      <c r="CS57" s="362">
        <v>14</v>
      </c>
      <c r="CT57" s="362">
        <v>16</v>
      </c>
      <c r="CU57" s="362" t="s">
        <v>153</v>
      </c>
      <c r="CV57" s="362">
        <v>580</v>
      </c>
      <c r="CW57" s="362">
        <v>2</v>
      </c>
      <c r="CX57" s="362">
        <v>0.98</v>
      </c>
      <c r="CY57" s="362">
        <v>0.22</v>
      </c>
      <c r="CZ57" s="362">
        <v>7.43</v>
      </c>
      <c r="DA57" s="362">
        <v>1.1000000000000001</v>
      </c>
      <c r="DB57" s="362">
        <v>6300</v>
      </c>
      <c r="DC57" s="362">
        <v>2900</v>
      </c>
      <c r="DD57" s="362">
        <v>22.1</v>
      </c>
      <c r="DE57" s="362">
        <v>4900</v>
      </c>
      <c r="DF57" s="362" t="s">
        <v>289</v>
      </c>
      <c r="DG57" s="362">
        <v>2.2999999999999998</v>
      </c>
      <c r="DH57" s="362">
        <v>1.4</v>
      </c>
      <c r="DI57" s="362">
        <v>1550</v>
      </c>
      <c r="DJ57" s="362">
        <v>350</v>
      </c>
      <c r="DK57" s="362">
        <v>390</v>
      </c>
      <c r="DL57" s="362" t="s">
        <v>348</v>
      </c>
      <c r="DM57" s="362">
        <v>5.39</v>
      </c>
      <c r="DN57" s="362">
        <v>7.56</v>
      </c>
      <c r="DO57" s="362">
        <v>6216</v>
      </c>
      <c r="DP57" s="362">
        <v>17.579999999999998</v>
      </c>
      <c r="DQ57" s="362">
        <v>1.26</v>
      </c>
    </row>
    <row r="58" spans="1:121" hidden="1" x14ac:dyDescent="0.25">
      <c r="A58" s="362" t="s">
        <v>170</v>
      </c>
      <c r="B58" s="56" t="str">
        <f>VLOOKUP(Table3[[#This Row],[Station]], StationName, 2, FALSE)</f>
        <v>L01-749-2</v>
      </c>
      <c r="C58" s="362">
        <v>1727007</v>
      </c>
      <c r="D58" s="221">
        <v>44348.308333333334</v>
      </c>
      <c r="E58" s="362" t="s">
        <v>293</v>
      </c>
      <c r="F58" s="362" t="s">
        <v>294</v>
      </c>
      <c r="G58" s="362" t="s">
        <v>294</v>
      </c>
      <c r="H58" s="362" t="s">
        <v>294</v>
      </c>
      <c r="I58" s="362" t="s">
        <v>294</v>
      </c>
      <c r="J58" s="362" t="s">
        <v>294</v>
      </c>
      <c r="K58" s="362" t="s">
        <v>294</v>
      </c>
      <c r="L58" s="362" t="s">
        <v>294</v>
      </c>
      <c r="M58" s="362" t="s">
        <v>294</v>
      </c>
      <c r="N58" s="362" t="s">
        <v>294</v>
      </c>
      <c r="O58" s="362" t="s">
        <v>294</v>
      </c>
      <c r="P58" s="362" t="s">
        <v>294</v>
      </c>
      <c r="Q58" s="362" t="s">
        <v>294</v>
      </c>
      <c r="R58" s="362" t="s">
        <v>294</v>
      </c>
      <c r="S58" s="362" t="s">
        <v>294</v>
      </c>
      <c r="T58" s="362" t="s">
        <v>294</v>
      </c>
      <c r="U58" s="362" t="s">
        <v>294</v>
      </c>
      <c r="V58" s="362" t="s">
        <v>294</v>
      </c>
      <c r="W58" s="362" t="s">
        <v>294</v>
      </c>
      <c r="X58" s="362" t="s">
        <v>294</v>
      </c>
      <c r="Y58" s="362" t="s">
        <v>294</v>
      </c>
      <c r="Z58" s="362" t="s">
        <v>294</v>
      </c>
      <c r="AA58" s="362" t="s">
        <v>294</v>
      </c>
      <c r="AB58" s="362" t="s">
        <v>294</v>
      </c>
      <c r="AC58" s="362" t="s">
        <v>294</v>
      </c>
      <c r="AD58" s="362" t="s">
        <v>294</v>
      </c>
      <c r="AE58" s="362" t="s">
        <v>294</v>
      </c>
      <c r="AF58" s="362" t="s">
        <v>294</v>
      </c>
      <c r="AG58" s="362" t="s">
        <v>294</v>
      </c>
      <c r="AH58" s="362" t="s">
        <v>294</v>
      </c>
      <c r="AI58" s="362" t="s">
        <v>294</v>
      </c>
      <c r="AJ58" s="362" t="s">
        <v>294</v>
      </c>
      <c r="AK58" s="362" t="s">
        <v>294</v>
      </c>
      <c r="AL58" s="362" t="s">
        <v>294</v>
      </c>
      <c r="AM58" s="362" t="s">
        <v>294</v>
      </c>
      <c r="AN58" s="362" t="s">
        <v>294</v>
      </c>
      <c r="AO58" s="362" t="s">
        <v>294</v>
      </c>
      <c r="AP58" s="362" t="s">
        <v>294</v>
      </c>
      <c r="AQ58" s="362" t="s">
        <v>294</v>
      </c>
      <c r="AR58" s="362" t="s">
        <v>294</v>
      </c>
      <c r="AS58" s="362" t="s">
        <v>294</v>
      </c>
      <c r="AT58" s="362" t="s">
        <v>294</v>
      </c>
      <c r="AU58" s="362" t="s">
        <v>294</v>
      </c>
      <c r="AV58" s="362" t="s">
        <v>294</v>
      </c>
      <c r="AW58" s="362" t="s">
        <v>294</v>
      </c>
      <c r="AX58" s="362" t="s">
        <v>294</v>
      </c>
      <c r="AY58" s="362" t="s">
        <v>294</v>
      </c>
      <c r="AZ58" s="362" t="s">
        <v>294</v>
      </c>
      <c r="BA58" s="362" t="s">
        <v>294</v>
      </c>
      <c r="BB58" s="362" t="s">
        <v>294</v>
      </c>
      <c r="BC58" s="362" t="s">
        <v>294</v>
      </c>
      <c r="BD58" s="362" t="s">
        <v>294</v>
      </c>
      <c r="BE58" s="362" t="s">
        <v>294</v>
      </c>
      <c r="BF58" s="362" t="s">
        <v>294</v>
      </c>
      <c r="BG58" s="362" t="s">
        <v>294</v>
      </c>
      <c r="BH58" s="362" t="s">
        <v>294</v>
      </c>
      <c r="BI58" s="362" t="s">
        <v>294</v>
      </c>
      <c r="BJ58" s="362" t="s">
        <v>294</v>
      </c>
      <c r="BK58" s="362" t="s">
        <v>294</v>
      </c>
      <c r="BL58" s="362" t="s">
        <v>294</v>
      </c>
      <c r="BM58" s="362" t="s">
        <v>294</v>
      </c>
      <c r="BN58" s="362" t="s">
        <v>294</v>
      </c>
      <c r="BO58" s="362" t="s">
        <v>294</v>
      </c>
      <c r="BP58" s="362" t="s">
        <v>294</v>
      </c>
      <c r="BQ58" s="362" t="s">
        <v>294</v>
      </c>
      <c r="BR58" s="362" t="s">
        <v>294</v>
      </c>
      <c r="BS58" s="362" t="s">
        <v>294</v>
      </c>
      <c r="BT58" s="362" t="s">
        <v>294</v>
      </c>
      <c r="BU58" s="362" t="s">
        <v>294</v>
      </c>
      <c r="BV58" s="362" t="s">
        <v>294</v>
      </c>
      <c r="BW58" s="362" t="s">
        <v>294</v>
      </c>
      <c r="BX58" s="362" t="s">
        <v>294</v>
      </c>
      <c r="BY58" s="362" t="s">
        <v>294</v>
      </c>
      <c r="BZ58" s="362" t="s">
        <v>294</v>
      </c>
      <c r="CA58" s="362">
        <v>1.2</v>
      </c>
      <c r="CB58" s="362">
        <v>1.2</v>
      </c>
      <c r="CC58" s="362" t="s">
        <v>294</v>
      </c>
      <c r="CD58" s="362" t="s">
        <v>230</v>
      </c>
      <c r="CE58" s="362">
        <v>0.23</v>
      </c>
      <c r="CF58" s="362">
        <v>3.5</v>
      </c>
      <c r="CG58" s="362" t="s">
        <v>294</v>
      </c>
      <c r="CH58" s="362" t="s">
        <v>294</v>
      </c>
      <c r="CI58" s="362" t="s">
        <v>286</v>
      </c>
      <c r="CJ58" s="362" t="s">
        <v>254</v>
      </c>
      <c r="CK58" s="362" t="s">
        <v>294</v>
      </c>
      <c r="CL58" s="362">
        <v>310</v>
      </c>
      <c r="CM58" s="362" t="s">
        <v>294</v>
      </c>
      <c r="CN58" s="362" t="s">
        <v>288</v>
      </c>
      <c r="CO58" s="362">
        <v>62</v>
      </c>
      <c r="CP58" s="362">
        <v>6.5</v>
      </c>
      <c r="CQ58" s="362" t="s">
        <v>254</v>
      </c>
      <c r="CR58" s="362" t="s">
        <v>254</v>
      </c>
      <c r="CS58" s="362" t="s">
        <v>294</v>
      </c>
      <c r="CT58" s="362">
        <v>12</v>
      </c>
      <c r="CU58" s="362" t="s">
        <v>294</v>
      </c>
      <c r="CV58" s="362" t="s">
        <v>294</v>
      </c>
      <c r="CW58" s="362" t="s">
        <v>294</v>
      </c>
      <c r="CX58" s="362" t="s">
        <v>294</v>
      </c>
      <c r="CY58" s="362" t="s">
        <v>294</v>
      </c>
      <c r="CZ58" s="362" t="s">
        <v>294</v>
      </c>
      <c r="DA58" s="362" t="s">
        <v>294</v>
      </c>
      <c r="DB58" s="362" t="s">
        <v>294</v>
      </c>
      <c r="DC58" s="362" t="s">
        <v>294</v>
      </c>
      <c r="DD58" s="362" t="s">
        <v>294</v>
      </c>
      <c r="DE58" s="362" t="s">
        <v>294</v>
      </c>
      <c r="DF58" s="362" t="s">
        <v>294</v>
      </c>
      <c r="DG58" s="362" t="s">
        <v>294</v>
      </c>
      <c r="DH58" s="362" t="s">
        <v>294</v>
      </c>
      <c r="DI58" s="362" t="s">
        <v>294</v>
      </c>
      <c r="DJ58" s="362" t="s">
        <v>294</v>
      </c>
      <c r="DK58" s="362" t="s">
        <v>294</v>
      </c>
      <c r="DL58" s="362" t="s">
        <v>294</v>
      </c>
      <c r="DM58" s="362" t="s">
        <v>294</v>
      </c>
      <c r="DN58" s="362" t="s">
        <v>294</v>
      </c>
      <c r="DO58" s="362" t="s">
        <v>294</v>
      </c>
      <c r="DP58" s="362" t="s">
        <v>294</v>
      </c>
      <c r="DQ58" s="362" t="s">
        <v>294</v>
      </c>
    </row>
    <row r="59" spans="1:121" x14ac:dyDescent="0.25">
      <c r="A59" s="362" t="s">
        <v>349</v>
      </c>
      <c r="B59" s="56" t="str">
        <f>VLOOKUP(Table3[[#This Row],[Station]], StationName, 2, FALSE)</f>
        <v>L02-541-9 (L02P02)</v>
      </c>
      <c r="C59" s="362">
        <v>1727001</v>
      </c>
      <c r="D59" s="221">
        <v>44348.347222222219</v>
      </c>
      <c r="E59" s="362" t="s">
        <v>283</v>
      </c>
      <c r="F59" s="362">
        <v>72</v>
      </c>
      <c r="G59" s="362">
        <v>96</v>
      </c>
      <c r="H59" s="362">
        <v>103</v>
      </c>
      <c r="I59" s="362">
        <v>96</v>
      </c>
      <c r="J59" s="362">
        <v>52</v>
      </c>
      <c r="K59" s="362">
        <v>82</v>
      </c>
      <c r="L59" s="362">
        <v>97</v>
      </c>
      <c r="M59" s="362">
        <v>86</v>
      </c>
      <c r="N59" s="362">
        <v>75</v>
      </c>
      <c r="O59" s="362" t="s">
        <v>259</v>
      </c>
      <c r="P59" s="362" t="s">
        <v>259</v>
      </c>
      <c r="Q59" s="362" t="s">
        <v>259</v>
      </c>
      <c r="R59" s="362" t="s">
        <v>259</v>
      </c>
      <c r="S59" s="362" t="s">
        <v>259</v>
      </c>
      <c r="T59" s="362" t="s">
        <v>259</v>
      </c>
      <c r="U59" s="362" t="s">
        <v>256</v>
      </c>
      <c r="V59" s="362" t="s">
        <v>256</v>
      </c>
      <c r="W59" s="362" t="s">
        <v>256</v>
      </c>
      <c r="X59" s="362" t="s">
        <v>256</v>
      </c>
      <c r="Y59" s="362" t="s">
        <v>284</v>
      </c>
      <c r="Z59" s="362" t="s">
        <v>256</v>
      </c>
      <c r="AA59" s="362" t="s">
        <v>256</v>
      </c>
      <c r="AB59" s="362" t="s">
        <v>256</v>
      </c>
      <c r="AC59" s="362" t="s">
        <v>256</v>
      </c>
      <c r="AD59" s="362" t="s">
        <v>256</v>
      </c>
      <c r="AE59" s="362" t="s">
        <v>256</v>
      </c>
      <c r="AF59" s="362" t="s">
        <v>256</v>
      </c>
      <c r="AG59" s="362" t="s">
        <v>256</v>
      </c>
      <c r="AH59" s="362" t="s">
        <v>256</v>
      </c>
      <c r="AI59" s="362" t="s">
        <v>256</v>
      </c>
      <c r="AJ59" s="362" t="s">
        <v>248</v>
      </c>
      <c r="AK59" s="362" t="s">
        <v>259</v>
      </c>
      <c r="AL59" s="362" t="s">
        <v>259</v>
      </c>
      <c r="AM59" s="362" t="s">
        <v>251</v>
      </c>
      <c r="AN59" s="362" t="s">
        <v>256</v>
      </c>
      <c r="AO59" s="362" t="s">
        <v>259</v>
      </c>
      <c r="AP59" s="362" t="s">
        <v>251</v>
      </c>
      <c r="AQ59" s="362" t="s">
        <v>256</v>
      </c>
      <c r="AR59" s="362" t="s">
        <v>256</v>
      </c>
      <c r="AS59" s="362" t="s">
        <v>285</v>
      </c>
      <c r="AT59" s="362" t="s">
        <v>259</v>
      </c>
      <c r="AU59" s="362" t="s">
        <v>284</v>
      </c>
      <c r="AV59" s="362" t="s">
        <v>259</v>
      </c>
      <c r="AW59" s="362" t="s">
        <v>256</v>
      </c>
      <c r="AX59" s="362" t="s">
        <v>256</v>
      </c>
      <c r="AY59" s="362" t="s">
        <v>256</v>
      </c>
      <c r="AZ59" s="362" t="s">
        <v>256</v>
      </c>
      <c r="BA59" s="362" t="s">
        <v>256</v>
      </c>
      <c r="BB59" s="362" t="s">
        <v>259</v>
      </c>
      <c r="BC59" s="362" t="s">
        <v>286</v>
      </c>
      <c r="BD59" s="362" t="s">
        <v>248</v>
      </c>
      <c r="BE59" s="362" t="s">
        <v>259</v>
      </c>
      <c r="BF59" s="362" t="s">
        <v>248</v>
      </c>
      <c r="BG59" s="362">
        <v>2.4300000000000002</v>
      </c>
      <c r="BH59" s="362" t="s">
        <v>256</v>
      </c>
      <c r="BI59" s="362" t="s">
        <v>256</v>
      </c>
      <c r="BJ59" s="362" t="s">
        <v>256</v>
      </c>
      <c r="BK59" s="362" t="s">
        <v>256</v>
      </c>
      <c r="BL59" s="362" t="s">
        <v>256</v>
      </c>
      <c r="BM59" s="362" t="s">
        <v>259</v>
      </c>
      <c r="BN59" s="362" t="s">
        <v>256</v>
      </c>
      <c r="BO59" s="362" t="s">
        <v>259</v>
      </c>
      <c r="BP59" s="362" t="s">
        <v>284</v>
      </c>
      <c r="BQ59" s="362" t="s">
        <v>256</v>
      </c>
      <c r="BR59" s="362" t="s">
        <v>256</v>
      </c>
      <c r="BS59" s="362">
        <v>2.76</v>
      </c>
      <c r="BT59" s="362" t="s">
        <v>284</v>
      </c>
      <c r="BU59" s="362">
        <v>3.61</v>
      </c>
      <c r="BV59" s="362" t="s">
        <v>248</v>
      </c>
      <c r="BW59" s="362" t="s">
        <v>285</v>
      </c>
      <c r="BX59" s="362" t="s">
        <v>287</v>
      </c>
      <c r="BY59" s="362" t="s">
        <v>259</v>
      </c>
      <c r="BZ59" s="362" t="s">
        <v>259</v>
      </c>
      <c r="CA59" s="362">
        <v>2</v>
      </c>
      <c r="CB59" s="362" t="s">
        <v>254</v>
      </c>
      <c r="CC59" s="362">
        <v>81.5</v>
      </c>
      <c r="CD59" s="362" t="s">
        <v>230</v>
      </c>
      <c r="CE59" s="362">
        <v>0.28000000000000003</v>
      </c>
      <c r="CF59" s="362">
        <v>3.7</v>
      </c>
      <c r="CG59" s="362">
        <v>8.6</v>
      </c>
      <c r="CH59" s="362">
        <v>324</v>
      </c>
      <c r="CI59" s="362">
        <v>230</v>
      </c>
      <c r="CJ59" s="362" t="s">
        <v>254</v>
      </c>
      <c r="CK59" s="362">
        <v>29.4</v>
      </c>
      <c r="CL59" s="362">
        <v>29</v>
      </c>
      <c r="CM59" s="362">
        <v>0.12</v>
      </c>
      <c r="CN59" s="362" t="s">
        <v>288</v>
      </c>
      <c r="CO59" s="362">
        <v>2</v>
      </c>
      <c r="CP59" s="362">
        <v>1.1000000000000001</v>
      </c>
      <c r="CQ59" s="362" t="s">
        <v>254</v>
      </c>
      <c r="CR59" s="362" t="s">
        <v>254</v>
      </c>
      <c r="CS59" s="362">
        <v>10</v>
      </c>
      <c r="CT59" s="362">
        <v>13</v>
      </c>
      <c r="CU59" s="362">
        <v>0.35</v>
      </c>
      <c r="CV59" s="362">
        <v>130</v>
      </c>
      <c r="CW59" s="362">
        <v>0.49</v>
      </c>
      <c r="CX59" s="362">
        <v>1.3</v>
      </c>
      <c r="CY59" s="362">
        <v>0.23</v>
      </c>
      <c r="CZ59" s="362">
        <v>7.26</v>
      </c>
      <c r="DA59" s="362">
        <v>1.3</v>
      </c>
      <c r="DB59" s="362">
        <v>1200</v>
      </c>
      <c r="DC59" s="362">
        <v>250</v>
      </c>
      <c r="DD59" s="362">
        <v>22.2</v>
      </c>
      <c r="DE59" s="362">
        <v>620</v>
      </c>
      <c r="DF59" s="362" t="s">
        <v>289</v>
      </c>
      <c r="DG59" s="362">
        <v>2.7</v>
      </c>
      <c r="DH59" s="362">
        <v>1.9</v>
      </c>
      <c r="DI59" s="362">
        <v>7600</v>
      </c>
      <c r="DJ59" s="362" t="s">
        <v>350</v>
      </c>
      <c r="DK59" s="362">
        <v>2000</v>
      </c>
      <c r="DL59" s="362" t="s">
        <v>351</v>
      </c>
      <c r="DM59" s="362">
        <v>6.47</v>
      </c>
      <c r="DN59" s="362">
        <v>7.75</v>
      </c>
      <c r="DO59" s="362">
        <v>1139</v>
      </c>
      <c r="DP59" s="362">
        <v>16.239999999999998</v>
      </c>
      <c r="DQ59" s="362">
        <v>5.29</v>
      </c>
    </row>
    <row r="60" spans="1:121" hidden="1" x14ac:dyDescent="0.25">
      <c r="A60" s="362" t="s">
        <v>349</v>
      </c>
      <c r="B60" s="56" t="str">
        <f>VLOOKUP(Table3[[#This Row],[Station]], StationName, 2, FALSE)</f>
        <v>L02-541-9 (L02P02)</v>
      </c>
      <c r="C60" s="362">
        <v>1727006</v>
      </c>
      <c r="D60" s="221">
        <v>44348.347222222219</v>
      </c>
      <c r="E60" s="362" t="s">
        <v>293</v>
      </c>
      <c r="F60" s="362" t="s">
        <v>294</v>
      </c>
      <c r="G60" s="362" t="s">
        <v>294</v>
      </c>
      <c r="H60" s="362" t="s">
        <v>294</v>
      </c>
      <c r="I60" s="362" t="s">
        <v>294</v>
      </c>
      <c r="J60" s="362" t="s">
        <v>294</v>
      </c>
      <c r="K60" s="362" t="s">
        <v>294</v>
      </c>
      <c r="L60" s="362" t="s">
        <v>294</v>
      </c>
      <c r="M60" s="362" t="s">
        <v>294</v>
      </c>
      <c r="N60" s="362" t="s">
        <v>294</v>
      </c>
      <c r="O60" s="362" t="s">
        <v>294</v>
      </c>
      <c r="P60" s="362" t="s">
        <v>294</v>
      </c>
      <c r="Q60" s="362" t="s">
        <v>294</v>
      </c>
      <c r="R60" s="362" t="s">
        <v>294</v>
      </c>
      <c r="S60" s="362" t="s">
        <v>294</v>
      </c>
      <c r="T60" s="362" t="s">
        <v>294</v>
      </c>
      <c r="U60" s="362" t="s">
        <v>294</v>
      </c>
      <c r="V60" s="362" t="s">
        <v>294</v>
      </c>
      <c r="W60" s="362" t="s">
        <v>294</v>
      </c>
      <c r="X60" s="362" t="s">
        <v>294</v>
      </c>
      <c r="Y60" s="362" t="s">
        <v>294</v>
      </c>
      <c r="Z60" s="362" t="s">
        <v>294</v>
      </c>
      <c r="AA60" s="362" t="s">
        <v>294</v>
      </c>
      <c r="AB60" s="362" t="s">
        <v>294</v>
      </c>
      <c r="AC60" s="362" t="s">
        <v>294</v>
      </c>
      <c r="AD60" s="362" t="s">
        <v>294</v>
      </c>
      <c r="AE60" s="362" t="s">
        <v>294</v>
      </c>
      <c r="AF60" s="362" t="s">
        <v>294</v>
      </c>
      <c r="AG60" s="362" t="s">
        <v>294</v>
      </c>
      <c r="AH60" s="362" t="s">
        <v>294</v>
      </c>
      <c r="AI60" s="362" t="s">
        <v>294</v>
      </c>
      <c r="AJ60" s="362" t="s">
        <v>294</v>
      </c>
      <c r="AK60" s="362" t="s">
        <v>294</v>
      </c>
      <c r="AL60" s="362" t="s">
        <v>294</v>
      </c>
      <c r="AM60" s="362" t="s">
        <v>294</v>
      </c>
      <c r="AN60" s="362" t="s">
        <v>294</v>
      </c>
      <c r="AO60" s="362" t="s">
        <v>294</v>
      </c>
      <c r="AP60" s="362" t="s">
        <v>294</v>
      </c>
      <c r="AQ60" s="362" t="s">
        <v>294</v>
      </c>
      <c r="AR60" s="362" t="s">
        <v>294</v>
      </c>
      <c r="AS60" s="362" t="s">
        <v>294</v>
      </c>
      <c r="AT60" s="362" t="s">
        <v>294</v>
      </c>
      <c r="AU60" s="362" t="s">
        <v>294</v>
      </c>
      <c r="AV60" s="362" t="s">
        <v>294</v>
      </c>
      <c r="AW60" s="362" t="s">
        <v>294</v>
      </c>
      <c r="AX60" s="362" t="s">
        <v>294</v>
      </c>
      <c r="AY60" s="362" t="s">
        <v>294</v>
      </c>
      <c r="AZ60" s="362" t="s">
        <v>294</v>
      </c>
      <c r="BA60" s="362" t="s">
        <v>294</v>
      </c>
      <c r="BB60" s="362" t="s">
        <v>294</v>
      </c>
      <c r="BC60" s="362" t="s">
        <v>294</v>
      </c>
      <c r="BD60" s="362" t="s">
        <v>294</v>
      </c>
      <c r="BE60" s="362" t="s">
        <v>294</v>
      </c>
      <c r="BF60" s="362" t="s">
        <v>294</v>
      </c>
      <c r="BG60" s="362" t="s">
        <v>294</v>
      </c>
      <c r="BH60" s="362" t="s">
        <v>294</v>
      </c>
      <c r="BI60" s="362" t="s">
        <v>294</v>
      </c>
      <c r="BJ60" s="362" t="s">
        <v>294</v>
      </c>
      <c r="BK60" s="362" t="s">
        <v>294</v>
      </c>
      <c r="BL60" s="362" t="s">
        <v>294</v>
      </c>
      <c r="BM60" s="362" t="s">
        <v>294</v>
      </c>
      <c r="BN60" s="362" t="s">
        <v>294</v>
      </c>
      <c r="BO60" s="362" t="s">
        <v>294</v>
      </c>
      <c r="BP60" s="362" t="s">
        <v>294</v>
      </c>
      <c r="BQ60" s="362" t="s">
        <v>294</v>
      </c>
      <c r="BR60" s="362" t="s">
        <v>294</v>
      </c>
      <c r="BS60" s="362" t="s">
        <v>294</v>
      </c>
      <c r="BT60" s="362" t="s">
        <v>294</v>
      </c>
      <c r="BU60" s="362" t="s">
        <v>294</v>
      </c>
      <c r="BV60" s="362" t="s">
        <v>294</v>
      </c>
      <c r="BW60" s="362" t="s">
        <v>294</v>
      </c>
      <c r="BX60" s="362" t="s">
        <v>294</v>
      </c>
      <c r="BY60" s="362" t="s">
        <v>294</v>
      </c>
      <c r="BZ60" s="362" t="s">
        <v>294</v>
      </c>
      <c r="CA60" s="362">
        <v>1.9</v>
      </c>
      <c r="CB60" s="362" t="s">
        <v>254</v>
      </c>
      <c r="CC60" s="362" t="s">
        <v>294</v>
      </c>
      <c r="CD60" s="362" t="s">
        <v>230</v>
      </c>
      <c r="CE60" s="362" t="s">
        <v>254</v>
      </c>
      <c r="CF60" s="362">
        <v>3.2</v>
      </c>
      <c r="CG60" s="362" t="s">
        <v>294</v>
      </c>
      <c r="CH60" s="362" t="s">
        <v>294</v>
      </c>
      <c r="CI60" s="362">
        <v>93</v>
      </c>
      <c r="CJ60" s="362" t="s">
        <v>254</v>
      </c>
      <c r="CK60" s="362" t="s">
        <v>294</v>
      </c>
      <c r="CL60" s="362">
        <v>26</v>
      </c>
      <c r="CM60" s="362" t="s">
        <v>294</v>
      </c>
      <c r="CN60" s="362" t="s">
        <v>288</v>
      </c>
      <c r="CO60" s="362">
        <v>2</v>
      </c>
      <c r="CP60" s="362">
        <v>1.1000000000000001</v>
      </c>
      <c r="CQ60" s="362" t="s">
        <v>254</v>
      </c>
      <c r="CR60" s="362" t="s">
        <v>254</v>
      </c>
      <c r="CS60" s="362" t="s">
        <v>294</v>
      </c>
      <c r="CT60" s="362" t="s">
        <v>284</v>
      </c>
      <c r="CU60" s="362" t="s">
        <v>294</v>
      </c>
      <c r="CV60" s="362" t="s">
        <v>294</v>
      </c>
      <c r="CW60" s="362" t="s">
        <v>294</v>
      </c>
      <c r="CX60" s="362" t="s">
        <v>294</v>
      </c>
      <c r="CY60" s="362" t="s">
        <v>294</v>
      </c>
      <c r="CZ60" s="362" t="s">
        <v>294</v>
      </c>
      <c r="DA60" s="362" t="s">
        <v>294</v>
      </c>
      <c r="DB60" s="362" t="s">
        <v>294</v>
      </c>
      <c r="DC60" s="362" t="s">
        <v>294</v>
      </c>
      <c r="DD60" s="362" t="s">
        <v>294</v>
      </c>
      <c r="DE60" s="362" t="s">
        <v>294</v>
      </c>
      <c r="DF60" s="362" t="s">
        <v>294</v>
      </c>
      <c r="DG60" s="362" t="s">
        <v>294</v>
      </c>
      <c r="DH60" s="362" t="s">
        <v>294</v>
      </c>
      <c r="DI60" s="362" t="s">
        <v>294</v>
      </c>
      <c r="DJ60" s="362" t="s">
        <v>294</v>
      </c>
      <c r="DK60" s="362" t="s">
        <v>294</v>
      </c>
      <c r="DL60" s="362" t="s">
        <v>294</v>
      </c>
      <c r="DM60" s="362" t="s">
        <v>294</v>
      </c>
      <c r="DN60" s="362" t="s">
        <v>294</v>
      </c>
      <c r="DO60" s="362" t="s">
        <v>294</v>
      </c>
      <c r="DP60" s="362" t="s">
        <v>294</v>
      </c>
      <c r="DQ60" s="362" t="s">
        <v>294</v>
      </c>
    </row>
    <row r="61" spans="1:121" x14ac:dyDescent="0.25">
      <c r="A61" s="362" t="s">
        <v>119</v>
      </c>
      <c r="B61" s="56" t="str">
        <f>VLOOKUP(Table3[[#This Row],[Station]], StationName, 2, FALSE)</f>
        <v>I00-11468-1</v>
      </c>
      <c r="C61" s="362">
        <v>1726002</v>
      </c>
      <c r="D61" s="221">
        <v>44348.373611111114</v>
      </c>
      <c r="E61" s="362" t="s">
        <v>283</v>
      </c>
      <c r="F61" s="362">
        <v>82</v>
      </c>
      <c r="G61" s="362">
        <v>98</v>
      </c>
      <c r="H61" s="362">
        <v>95</v>
      </c>
      <c r="I61" s="362">
        <v>100</v>
      </c>
      <c r="J61" s="362">
        <v>70</v>
      </c>
      <c r="K61" s="362">
        <v>87</v>
      </c>
      <c r="L61" s="362">
        <v>91</v>
      </c>
      <c r="M61" s="362">
        <v>98</v>
      </c>
      <c r="N61" s="362">
        <v>83</v>
      </c>
      <c r="O61" s="362" t="s">
        <v>259</v>
      </c>
      <c r="P61" s="362" t="s">
        <v>259</v>
      </c>
      <c r="Q61" s="362" t="s">
        <v>259</v>
      </c>
      <c r="R61" s="362" t="s">
        <v>259</v>
      </c>
      <c r="S61" s="362" t="s">
        <v>259</v>
      </c>
      <c r="T61" s="362" t="s">
        <v>259</v>
      </c>
      <c r="U61" s="362" t="s">
        <v>256</v>
      </c>
      <c r="V61" s="362" t="s">
        <v>256</v>
      </c>
      <c r="W61" s="362" t="s">
        <v>256</v>
      </c>
      <c r="X61" s="362" t="s">
        <v>256</v>
      </c>
      <c r="Y61" s="362" t="s">
        <v>284</v>
      </c>
      <c r="Z61" s="362" t="s">
        <v>256</v>
      </c>
      <c r="AA61" s="362" t="s">
        <v>256</v>
      </c>
      <c r="AB61" s="362" t="s">
        <v>256</v>
      </c>
      <c r="AC61" s="362" t="s">
        <v>256</v>
      </c>
      <c r="AD61" s="362" t="s">
        <v>256</v>
      </c>
      <c r="AE61" s="362" t="s">
        <v>256</v>
      </c>
      <c r="AF61" s="362" t="s">
        <v>256</v>
      </c>
      <c r="AG61" s="362" t="s">
        <v>256</v>
      </c>
      <c r="AH61" s="362" t="s">
        <v>256</v>
      </c>
      <c r="AI61" s="362" t="s">
        <v>256</v>
      </c>
      <c r="AJ61" s="362" t="s">
        <v>248</v>
      </c>
      <c r="AK61" s="362" t="s">
        <v>259</v>
      </c>
      <c r="AL61" s="362" t="s">
        <v>259</v>
      </c>
      <c r="AM61" s="362" t="s">
        <v>251</v>
      </c>
      <c r="AN61" s="362" t="s">
        <v>256</v>
      </c>
      <c r="AO61" s="362" t="s">
        <v>259</v>
      </c>
      <c r="AP61" s="362" t="s">
        <v>251</v>
      </c>
      <c r="AQ61" s="362" t="s">
        <v>256</v>
      </c>
      <c r="AR61" s="362" t="s">
        <v>256</v>
      </c>
      <c r="AS61" s="362" t="s">
        <v>285</v>
      </c>
      <c r="AT61" s="362" t="s">
        <v>259</v>
      </c>
      <c r="AU61" s="362" t="s">
        <v>284</v>
      </c>
      <c r="AV61" s="362" t="s">
        <v>259</v>
      </c>
      <c r="AW61" s="362" t="s">
        <v>256</v>
      </c>
      <c r="AX61" s="362" t="s">
        <v>256</v>
      </c>
      <c r="AY61" s="362" t="s">
        <v>256</v>
      </c>
      <c r="AZ61" s="362" t="s">
        <v>256</v>
      </c>
      <c r="BA61" s="362" t="s">
        <v>256</v>
      </c>
      <c r="BB61" s="362" t="s">
        <v>259</v>
      </c>
      <c r="BC61" s="362" t="s">
        <v>286</v>
      </c>
      <c r="BD61" s="362" t="s">
        <v>248</v>
      </c>
      <c r="BE61" s="362" t="s">
        <v>259</v>
      </c>
      <c r="BF61" s="362" t="s">
        <v>248</v>
      </c>
      <c r="BG61" s="362">
        <v>1.06</v>
      </c>
      <c r="BH61" s="362" t="s">
        <v>256</v>
      </c>
      <c r="BI61" s="362" t="s">
        <v>256</v>
      </c>
      <c r="BJ61" s="362" t="s">
        <v>256</v>
      </c>
      <c r="BK61" s="362" t="s">
        <v>256</v>
      </c>
      <c r="BL61" s="362" t="s">
        <v>256</v>
      </c>
      <c r="BM61" s="362" t="s">
        <v>259</v>
      </c>
      <c r="BN61" s="362" t="s">
        <v>256</v>
      </c>
      <c r="BO61" s="362" t="s">
        <v>259</v>
      </c>
      <c r="BP61" s="362" t="s">
        <v>284</v>
      </c>
      <c r="BQ61" s="362" t="s">
        <v>256</v>
      </c>
      <c r="BR61" s="362" t="s">
        <v>256</v>
      </c>
      <c r="BS61" s="362" t="s">
        <v>256</v>
      </c>
      <c r="BT61" s="362" t="s">
        <v>284</v>
      </c>
      <c r="BU61" s="362">
        <v>1.56</v>
      </c>
      <c r="BV61" s="362" t="s">
        <v>248</v>
      </c>
      <c r="BW61" s="362" t="s">
        <v>285</v>
      </c>
      <c r="BX61" s="362" t="s">
        <v>287</v>
      </c>
      <c r="BY61" s="362" t="s">
        <v>259</v>
      </c>
      <c r="BZ61" s="362" t="s">
        <v>259</v>
      </c>
      <c r="CA61" s="362">
        <v>1.1000000000000001</v>
      </c>
      <c r="CB61" s="362" t="s">
        <v>254</v>
      </c>
      <c r="CC61" s="362">
        <v>447</v>
      </c>
      <c r="CD61" s="362" t="s">
        <v>230</v>
      </c>
      <c r="CE61" s="362">
        <v>0.4</v>
      </c>
      <c r="CF61" s="362">
        <v>1.7</v>
      </c>
      <c r="CG61" s="362">
        <v>1</v>
      </c>
      <c r="CH61" s="362">
        <v>3760</v>
      </c>
      <c r="CI61" s="362">
        <v>280</v>
      </c>
      <c r="CJ61" s="362" t="s">
        <v>254</v>
      </c>
      <c r="CK61" s="362">
        <v>643</v>
      </c>
      <c r="CL61" s="362">
        <v>130</v>
      </c>
      <c r="CM61" s="362" t="s">
        <v>288</v>
      </c>
      <c r="CN61" s="362" t="s">
        <v>288</v>
      </c>
      <c r="CO61" s="362">
        <v>4</v>
      </c>
      <c r="CP61" s="362">
        <v>9.8000000000000007</v>
      </c>
      <c r="CQ61" s="362" t="s">
        <v>254</v>
      </c>
      <c r="CR61" s="362" t="s">
        <v>254</v>
      </c>
      <c r="CS61" s="362">
        <v>3.3</v>
      </c>
      <c r="CT61" s="362" t="s">
        <v>284</v>
      </c>
      <c r="CU61" s="362" t="s">
        <v>153</v>
      </c>
      <c r="CV61" s="362">
        <v>2100</v>
      </c>
      <c r="CW61" s="362" t="s">
        <v>153</v>
      </c>
      <c r="CX61" s="362">
        <v>0.44</v>
      </c>
      <c r="CY61" s="362">
        <v>7.2999999999999995E-2</v>
      </c>
      <c r="CZ61" s="362">
        <v>7.8</v>
      </c>
      <c r="DA61" s="362">
        <v>0.5</v>
      </c>
      <c r="DB61" s="362">
        <v>11000</v>
      </c>
      <c r="DC61" s="362">
        <v>3400</v>
      </c>
      <c r="DD61" s="362">
        <v>21.9</v>
      </c>
      <c r="DE61" s="362">
        <v>7600</v>
      </c>
      <c r="DF61" s="362" t="s">
        <v>309</v>
      </c>
      <c r="DG61" s="362">
        <v>1.4</v>
      </c>
      <c r="DH61" s="362">
        <v>1.4</v>
      </c>
      <c r="DI61" s="362">
        <v>430</v>
      </c>
      <c r="DJ61" s="362">
        <v>710</v>
      </c>
      <c r="DK61" s="362">
        <v>550</v>
      </c>
      <c r="DL61" s="362" t="s">
        <v>352</v>
      </c>
      <c r="DM61" s="362">
        <v>8.3800000000000008</v>
      </c>
      <c r="DN61" s="362">
        <v>7.81</v>
      </c>
      <c r="DO61" s="362">
        <v>10556</v>
      </c>
      <c r="DP61" s="362">
        <v>17.739999999999998</v>
      </c>
      <c r="DQ61" s="362" t="s">
        <v>294</v>
      </c>
    </row>
    <row r="62" spans="1:121" hidden="1" x14ac:dyDescent="0.25">
      <c r="A62" s="362" t="s">
        <v>119</v>
      </c>
      <c r="B62" s="56" t="str">
        <f>VLOOKUP(Table3[[#This Row],[Station]], StationName, 2, FALSE)</f>
        <v>I00-11468-1</v>
      </c>
      <c r="C62" s="362">
        <v>1726004</v>
      </c>
      <c r="D62" s="221">
        <v>44348.373611111114</v>
      </c>
      <c r="E62" s="362" t="s">
        <v>293</v>
      </c>
      <c r="F62" s="362" t="s">
        <v>294</v>
      </c>
      <c r="G62" s="362" t="s">
        <v>294</v>
      </c>
      <c r="H62" s="362" t="s">
        <v>294</v>
      </c>
      <c r="I62" s="362" t="s">
        <v>294</v>
      </c>
      <c r="J62" s="362" t="s">
        <v>294</v>
      </c>
      <c r="K62" s="362" t="s">
        <v>294</v>
      </c>
      <c r="L62" s="362" t="s">
        <v>294</v>
      </c>
      <c r="M62" s="362" t="s">
        <v>294</v>
      </c>
      <c r="N62" s="362" t="s">
        <v>294</v>
      </c>
      <c r="O62" s="362" t="s">
        <v>294</v>
      </c>
      <c r="P62" s="362" t="s">
        <v>294</v>
      </c>
      <c r="Q62" s="362" t="s">
        <v>294</v>
      </c>
      <c r="R62" s="362" t="s">
        <v>294</v>
      </c>
      <c r="S62" s="362" t="s">
        <v>294</v>
      </c>
      <c r="T62" s="362" t="s">
        <v>294</v>
      </c>
      <c r="U62" s="362" t="s">
        <v>294</v>
      </c>
      <c r="V62" s="362" t="s">
        <v>294</v>
      </c>
      <c r="W62" s="362" t="s">
        <v>294</v>
      </c>
      <c r="X62" s="362" t="s">
        <v>294</v>
      </c>
      <c r="Y62" s="362" t="s">
        <v>294</v>
      </c>
      <c r="Z62" s="362" t="s">
        <v>294</v>
      </c>
      <c r="AA62" s="362" t="s">
        <v>294</v>
      </c>
      <c r="AB62" s="362" t="s">
        <v>294</v>
      </c>
      <c r="AC62" s="362" t="s">
        <v>294</v>
      </c>
      <c r="AD62" s="362" t="s">
        <v>294</v>
      </c>
      <c r="AE62" s="362" t="s">
        <v>294</v>
      </c>
      <c r="AF62" s="362" t="s">
        <v>294</v>
      </c>
      <c r="AG62" s="362" t="s">
        <v>294</v>
      </c>
      <c r="AH62" s="362" t="s">
        <v>294</v>
      </c>
      <c r="AI62" s="362" t="s">
        <v>294</v>
      </c>
      <c r="AJ62" s="362" t="s">
        <v>294</v>
      </c>
      <c r="AK62" s="362" t="s">
        <v>294</v>
      </c>
      <c r="AL62" s="362" t="s">
        <v>294</v>
      </c>
      <c r="AM62" s="362" t="s">
        <v>294</v>
      </c>
      <c r="AN62" s="362" t="s">
        <v>294</v>
      </c>
      <c r="AO62" s="362" t="s">
        <v>294</v>
      </c>
      <c r="AP62" s="362" t="s">
        <v>294</v>
      </c>
      <c r="AQ62" s="362" t="s">
        <v>294</v>
      </c>
      <c r="AR62" s="362" t="s">
        <v>294</v>
      </c>
      <c r="AS62" s="362" t="s">
        <v>294</v>
      </c>
      <c r="AT62" s="362" t="s">
        <v>294</v>
      </c>
      <c r="AU62" s="362" t="s">
        <v>294</v>
      </c>
      <c r="AV62" s="362" t="s">
        <v>294</v>
      </c>
      <c r="AW62" s="362" t="s">
        <v>294</v>
      </c>
      <c r="AX62" s="362" t="s">
        <v>294</v>
      </c>
      <c r="AY62" s="362" t="s">
        <v>294</v>
      </c>
      <c r="AZ62" s="362" t="s">
        <v>294</v>
      </c>
      <c r="BA62" s="362" t="s">
        <v>294</v>
      </c>
      <c r="BB62" s="362" t="s">
        <v>294</v>
      </c>
      <c r="BC62" s="362" t="s">
        <v>294</v>
      </c>
      <c r="BD62" s="362" t="s">
        <v>294</v>
      </c>
      <c r="BE62" s="362" t="s">
        <v>294</v>
      </c>
      <c r="BF62" s="362" t="s">
        <v>294</v>
      </c>
      <c r="BG62" s="362" t="s">
        <v>294</v>
      </c>
      <c r="BH62" s="362" t="s">
        <v>294</v>
      </c>
      <c r="BI62" s="362" t="s">
        <v>294</v>
      </c>
      <c r="BJ62" s="362" t="s">
        <v>294</v>
      </c>
      <c r="BK62" s="362" t="s">
        <v>294</v>
      </c>
      <c r="BL62" s="362" t="s">
        <v>294</v>
      </c>
      <c r="BM62" s="362" t="s">
        <v>294</v>
      </c>
      <c r="BN62" s="362" t="s">
        <v>294</v>
      </c>
      <c r="BO62" s="362" t="s">
        <v>294</v>
      </c>
      <c r="BP62" s="362" t="s">
        <v>294</v>
      </c>
      <c r="BQ62" s="362" t="s">
        <v>294</v>
      </c>
      <c r="BR62" s="362" t="s">
        <v>294</v>
      </c>
      <c r="BS62" s="362" t="s">
        <v>294</v>
      </c>
      <c r="BT62" s="362" t="s">
        <v>294</v>
      </c>
      <c r="BU62" s="362" t="s">
        <v>294</v>
      </c>
      <c r="BV62" s="362" t="s">
        <v>294</v>
      </c>
      <c r="BW62" s="362" t="s">
        <v>294</v>
      </c>
      <c r="BX62" s="362" t="s">
        <v>294</v>
      </c>
      <c r="BY62" s="362" t="s">
        <v>294</v>
      </c>
      <c r="BZ62" s="362" t="s">
        <v>294</v>
      </c>
      <c r="CA62" s="362">
        <v>1.1000000000000001</v>
      </c>
      <c r="CB62" s="362" t="s">
        <v>254</v>
      </c>
      <c r="CC62" s="362" t="s">
        <v>294</v>
      </c>
      <c r="CD62" s="362" t="s">
        <v>230</v>
      </c>
      <c r="CE62" s="362">
        <v>0.25</v>
      </c>
      <c r="CF62" s="362">
        <v>1.8</v>
      </c>
      <c r="CG62" s="362" t="s">
        <v>294</v>
      </c>
      <c r="CH62" s="362" t="s">
        <v>294</v>
      </c>
      <c r="CI62" s="362">
        <v>29</v>
      </c>
      <c r="CJ62" s="362" t="s">
        <v>254</v>
      </c>
      <c r="CK62" s="362" t="s">
        <v>294</v>
      </c>
      <c r="CL62" s="362">
        <v>120</v>
      </c>
      <c r="CM62" s="362" t="s">
        <v>294</v>
      </c>
      <c r="CN62" s="362" t="s">
        <v>288</v>
      </c>
      <c r="CO62" s="362">
        <v>3.9</v>
      </c>
      <c r="CP62" s="362">
        <v>10</v>
      </c>
      <c r="CQ62" s="362" t="s">
        <v>254</v>
      </c>
      <c r="CR62" s="362" t="s">
        <v>254</v>
      </c>
      <c r="CS62" s="362" t="s">
        <v>294</v>
      </c>
      <c r="CT62" s="362" t="s">
        <v>284</v>
      </c>
      <c r="CU62" s="362" t="s">
        <v>294</v>
      </c>
      <c r="CV62" s="362" t="s">
        <v>294</v>
      </c>
      <c r="CW62" s="362" t="s">
        <v>294</v>
      </c>
      <c r="CX62" s="362" t="s">
        <v>294</v>
      </c>
      <c r="CY62" s="362" t="s">
        <v>294</v>
      </c>
      <c r="CZ62" s="362" t="s">
        <v>294</v>
      </c>
      <c r="DA62" s="362" t="s">
        <v>294</v>
      </c>
      <c r="DB62" s="362" t="s">
        <v>294</v>
      </c>
      <c r="DC62" s="362" t="s">
        <v>294</v>
      </c>
      <c r="DD62" s="362" t="s">
        <v>294</v>
      </c>
      <c r="DE62" s="362" t="s">
        <v>294</v>
      </c>
      <c r="DF62" s="362" t="s">
        <v>294</v>
      </c>
      <c r="DG62" s="362" t="s">
        <v>294</v>
      </c>
      <c r="DH62" s="362" t="s">
        <v>294</v>
      </c>
      <c r="DI62" s="362" t="s">
        <v>294</v>
      </c>
      <c r="DJ62" s="362" t="s">
        <v>294</v>
      </c>
      <c r="DK62" s="362" t="s">
        <v>294</v>
      </c>
      <c r="DL62" s="362" t="s">
        <v>294</v>
      </c>
      <c r="DM62" s="362" t="s">
        <v>294</v>
      </c>
      <c r="DN62" s="362" t="s">
        <v>294</v>
      </c>
      <c r="DO62" s="362" t="s">
        <v>294</v>
      </c>
      <c r="DP62" s="362" t="s">
        <v>294</v>
      </c>
      <c r="DQ62" s="362" t="s">
        <v>294</v>
      </c>
    </row>
    <row r="63" spans="1:121" x14ac:dyDescent="0.25">
      <c r="A63" s="362" t="s">
        <v>353</v>
      </c>
      <c r="B63" s="56" t="str">
        <f>VLOOKUP(Table3[[#This Row],[Station]], StationName, 2, FALSE)</f>
        <v>L01-766-2 (L01S06)</v>
      </c>
      <c r="C63" s="362">
        <v>1727005</v>
      </c>
      <c r="D63" s="221">
        <v>44348.398611111108</v>
      </c>
      <c r="E63" s="362" t="s">
        <v>283</v>
      </c>
      <c r="F63" s="362">
        <v>75</v>
      </c>
      <c r="G63" s="362">
        <v>91</v>
      </c>
      <c r="H63" s="362">
        <v>93</v>
      </c>
      <c r="I63" s="362">
        <v>94</v>
      </c>
      <c r="J63" s="362">
        <v>60</v>
      </c>
      <c r="K63" s="362">
        <v>90</v>
      </c>
      <c r="L63" s="362">
        <v>96</v>
      </c>
      <c r="M63" s="362">
        <v>101</v>
      </c>
      <c r="N63" s="362">
        <v>83</v>
      </c>
      <c r="O63" s="362" t="s">
        <v>259</v>
      </c>
      <c r="P63" s="362" t="s">
        <v>259</v>
      </c>
      <c r="Q63" s="362" t="s">
        <v>259</v>
      </c>
      <c r="R63" s="362" t="s">
        <v>259</v>
      </c>
      <c r="S63" s="362" t="s">
        <v>259</v>
      </c>
      <c r="T63" s="362" t="s">
        <v>259</v>
      </c>
      <c r="U63" s="362" t="s">
        <v>256</v>
      </c>
      <c r="V63" s="362" t="s">
        <v>256</v>
      </c>
      <c r="W63" s="362" t="s">
        <v>256</v>
      </c>
      <c r="X63" s="362" t="s">
        <v>256</v>
      </c>
      <c r="Y63" s="362" t="s">
        <v>284</v>
      </c>
      <c r="Z63" s="362" t="s">
        <v>256</v>
      </c>
      <c r="AA63" s="362" t="s">
        <v>256</v>
      </c>
      <c r="AB63" s="362" t="s">
        <v>256</v>
      </c>
      <c r="AC63" s="362" t="s">
        <v>256</v>
      </c>
      <c r="AD63" s="362" t="s">
        <v>256</v>
      </c>
      <c r="AE63" s="362" t="s">
        <v>256</v>
      </c>
      <c r="AF63" s="362" t="s">
        <v>256</v>
      </c>
      <c r="AG63" s="362" t="s">
        <v>256</v>
      </c>
      <c r="AH63" s="362" t="s">
        <v>256</v>
      </c>
      <c r="AI63" s="362" t="s">
        <v>256</v>
      </c>
      <c r="AJ63" s="362" t="s">
        <v>248</v>
      </c>
      <c r="AK63" s="362" t="s">
        <v>259</v>
      </c>
      <c r="AL63" s="362" t="s">
        <v>259</v>
      </c>
      <c r="AM63" s="362" t="s">
        <v>251</v>
      </c>
      <c r="AN63" s="362" t="s">
        <v>256</v>
      </c>
      <c r="AO63" s="362" t="s">
        <v>259</v>
      </c>
      <c r="AP63" s="362" t="s">
        <v>251</v>
      </c>
      <c r="AQ63" s="362" t="s">
        <v>256</v>
      </c>
      <c r="AR63" s="362" t="s">
        <v>256</v>
      </c>
      <c r="AS63" s="362" t="s">
        <v>285</v>
      </c>
      <c r="AT63" s="362" t="s">
        <v>259</v>
      </c>
      <c r="AU63" s="362" t="s">
        <v>284</v>
      </c>
      <c r="AV63" s="362" t="s">
        <v>259</v>
      </c>
      <c r="AW63" s="362" t="s">
        <v>256</v>
      </c>
      <c r="AX63" s="362" t="s">
        <v>256</v>
      </c>
      <c r="AY63" s="362" t="s">
        <v>256</v>
      </c>
      <c r="AZ63" s="362" t="s">
        <v>256</v>
      </c>
      <c r="BA63" s="362" t="s">
        <v>256</v>
      </c>
      <c r="BB63" s="362" t="s">
        <v>259</v>
      </c>
      <c r="BC63" s="362" t="s">
        <v>286</v>
      </c>
      <c r="BD63" s="362" t="s">
        <v>248</v>
      </c>
      <c r="BE63" s="362" t="s">
        <v>259</v>
      </c>
      <c r="BF63" s="362" t="s">
        <v>248</v>
      </c>
      <c r="BG63" s="362">
        <v>1.59</v>
      </c>
      <c r="BH63" s="362" t="s">
        <v>256</v>
      </c>
      <c r="BI63" s="362" t="s">
        <v>256</v>
      </c>
      <c r="BJ63" s="362" t="s">
        <v>256</v>
      </c>
      <c r="BK63" s="362" t="s">
        <v>256</v>
      </c>
      <c r="BL63" s="362" t="s">
        <v>256</v>
      </c>
      <c r="BM63" s="362" t="s">
        <v>259</v>
      </c>
      <c r="BN63" s="362" t="s">
        <v>256</v>
      </c>
      <c r="BO63" s="362" t="s">
        <v>259</v>
      </c>
      <c r="BP63" s="362" t="s">
        <v>284</v>
      </c>
      <c r="BQ63" s="362" t="s">
        <v>256</v>
      </c>
      <c r="BR63" s="362" t="s">
        <v>256</v>
      </c>
      <c r="BS63" s="362" t="s">
        <v>256</v>
      </c>
      <c r="BT63" s="362" t="s">
        <v>284</v>
      </c>
      <c r="BU63" s="362">
        <v>2.1</v>
      </c>
      <c r="BV63" s="362" t="s">
        <v>248</v>
      </c>
      <c r="BW63" s="362" t="s">
        <v>285</v>
      </c>
      <c r="BX63" s="362" t="s">
        <v>287</v>
      </c>
      <c r="BY63" s="362" t="s">
        <v>259</v>
      </c>
      <c r="BZ63" s="362" t="s">
        <v>259</v>
      </c>
      <c r="CA63" s="362">
        <v>1.1000000000000001</v>
      </c>
      <c r="CB63" s="362" t="s">
        <v>254</v>
      </c>
      <c r="CC63" s="362">
        <v>137</v>
      </c>
      <c r="CD63" s="362">
        <v>0.25</v>
      </c>
      <c r="CE63" s="362">
        <v>0.44</v>
      </c>
      <c r="CF63" s="362">
        <v>3</v>
      </c>
      <c r="CG63" s="362">
        <v>1.3</v>
      </c>
      <c r="CH63" s="362">
        <v>688</v>
      </c>
      <c r="CI63" s="362">
        <v>29</v>
      </c>
      <c r="CJ63" s="362" t="s">
        <v>254</v>
      </c>
      <c r="CK63" s="362">
        <v>84.1</v>
      </c>
      <c r="CL63" s="362">
        <v>1.1000000000000001</v>
      </c>
      <c r="CM63" s="362" t="s">
        <v>288</v>
      </c>
      <c r="CN63" s="362" t="s">
        <v>288</v>
      </c>
      <c r="CO63" s="362" t="s">
        <v>259</v>
      </c>
      <c r="CP63" s="362">
        <v>4.0999999999999996</v>
      </c>
      <c r="CQ63" s="362" t="s">
        <v>254</v>
      </c>
      <c r="CR63" s="362" t="s">
        <v>254</v>
      </c>
      <c r="CS63" s="362">
        <v>4</v>
      </c>
      <c r="CT63" s="362" t="s">
        <v>284</v>
      </c>
      <c r="CU63" s="362" t="s">
        <v>153</v>
      </c>
      <c r="CV63" s="362">
        <v>500</v>
      </c>
      <c r="CW63" s="362">
        <v>4.4000000000000004</v>
      </c>
      <c r="CX63" s="362">
        <v>0.65</v>
      </c>
      <c r="CY63" s="362">
        <v>9.9000000000000005E-2</v>
      </c>
      <c r="CZ63" s="362">
        <v>8.41</v>
      </c>
      <c r="DA63" s="362">
        <v>0.73</v>
      </c>
      <c r="DB63" s="362">
        <v>3400</v>
      </c>
      <c r="DC63" s="362">
        <v>650</v>
      </c>
      <c r="DD63" s="362">
        <v>22.4</v>
      </c>
      <c r="DE63" s="362">
        <v>2000</v>
      </c>
      <c r="DF63" s="362" t="s">
        <v>289</v>
      </c>
      <c r="DG63" s="362">
        <v>0.7</v>
      </c>
      <c r="DH63" s="362">
        <v>0.91</v>
      </c>
      <c r="DI63" s="362">
        <v>290</v>
      </c>
      <c r="DJ63" s="362">
        <v>920</v>
      </c>
      <c r="DK63" s="362">
        <v>1090</v>
      </c>
      <c r="DL63" s="362" t="s">
        <v>354</v>
      </c>
      <c r="DM63" s="362">
        <v>11.06</v>
      </c>
      <c r="DN63" s="362">
        <v>8.5399999999999991</v>
      </c>
      <c r="DO63" s="362">
        <v>3353</v>
      </c>
      <c r="DP63" s="362">
        <v>16.559999999999999</v>
      </c>
      <c r="DQ63" s="362">
        <v>0.9</v>
      </c>
    </row>
    <row r="64" spans="1:121" hidden="1" x14ac:dyDescent="0.25">
      <c r="A64" s="362" t="s">
        <v>353</v>
      </c>
      <c r="B64" s="56" t="str">
        <f>VLOOKUP(Table3[[#This Row],[Station]], StationName, 2, FALSE)</f>
        <v>L01-766-2 (L01S06)</v>
      </c>
      <c r="C64" s="362">
        <v>1727010</v>
      </c>
      <c r="D64" s="221">
        <v>44348.398611111108</v>
      </c>
      <c r="E64" s="362" t="s">
        <v>293</v>
      </c>
      <c r="F64" s="362" t="s">
        <v>294</v>
      </c>
      <c r="G64" s="362" t="s">
        <v>294</v>
      </c>
      <c r="H64" s="362" t="s">
        <v>294</v>
      </c>
      <c r="I64" s="362" t="s">
        <v>294</v>
      </c>
      <c r="J64" s="362" t="s">
        <v>294</v>
      </c>
      <c r="K64" s="362" t="s">
        <v>294</v>
      </c>
      <c r="L64" s="362" t="s">
        <v>294</v>
      </c>
      <c r="M64" s="362" t="s">
        <v>294</v>
      </c>
      <c r="N64" s="362" t="s">
        <v>294</v>
      </c>
      <c r="O64" s="362" t="s">
        <v>294</v>
      </c>
      <c r="P64" s="362" t="s">
        <v>294</v>
      </c>
      <c r="Q64" s="362" t="s">
        <v>294</v>
      </c>
      <c r="R64" s="362" t="s">
        <v>294</v>
      </c>
      <c r="S64" s="362" t="s">
        <v>294</v>
      </c>
      <c r="T64" s="362" t="s">
        <v>294</v>
      </c>
      <c r="U64" s="362" t="s">
        <v>294</v>
      </c>
      <c r="V64" s="362" t="s">
        <v>294</v>
      </c>
      <c r="W64" s="362" t="s">
        <v>294</v>
      </c>
      <c r="X64" s="362" t="s">
        <v>294</v>
      </c>
      <c r="Y64" s="362" t="s">
        <v>294</v>
      </c>
      <c r="Z64" s="362" t="s">
        <v>294</v>
      </c>
      <c r="AA64" s="362" t="s">
        <v>294</v>
      </c>
      <c r="AB64" s="362" t="s">
        <v>294</v>
      </c>
      <c r="AC64" s="362" t="s">
        <v>294</v>
      </c>
      <c r="AD64" s="362" t="s">
        <v>294</v>
      </c>
      <c r="AE64" s="362" t="s">
        <v>294</v>
      </c>
      <c r="AF64" s="362" t="s">
        <v>294</v>
      </c>
      <c r="AG64" s="362" t="s">
        <v>294</v>
      </c>
      <c r="AH64" s="362" t="s">
        <v>294</v>
      </c>
      <c r="AI64" s="362" t="s">
        <v>294</v>
      </c>
      <c r="AJ64" s="362" t="s">
        <v>294</v>
      </c>
      <c r="AK64" s="362" t="s">
        <v>294</v>
      </c>
      <c r="AL64" s="362" t="s">
        <v>294</v>
      </c>
      <c r="AM64" s="362" t="s">
        <v>294</v>
      </c>
      <c r="AN64" s="362" t="s">
        <v>294</v>
      </c>
      <c r="AO64" s="362" t="s">
        <v>294</v>
      </c>
      <c r="AP64" s="362" t="s">
        <v>294</v>
      </c>
      <c r="AQ64" s="362" t="s">
        <v>294</v>
      </c>
      <c r="AR64" s="362" t="s">
        <v>294</v>
      </c>
      <c r="AS64" s="362" t="s">
        <v>294</v>
      </c>
      <c r="AT64" s="362" t="s">
        <v>294</v>
      </c>
      <c r="AU64" s="362" t="s">
        <v>294</v>
      </c>
      <c r="AV64" s="362" t="s">
        <v>294</v>
      </c>
      <c r="AW64" s="362" t="s">
        <v>294</v>
      </c>
      <c r="AX64" s="362" t="s">
        <v>294</v>
      </c>
      <c r="AY64" s="362" t="s">
        <v>294</v>
      </c>
      <c r="AZ64" s="362" t="s">
        <v>294</v>
      </c>
      <c r="BA64" s="362" t="s">
        <v>294</v>
      </c>
      <c r="BB64" s="362" t="s">
        <v>294</v>
      </c>
      <c r="BC64" s="362" t="s">
        <v>294</v>
      </c>
      <c r="BD64" s="362" t="s">
        <v>294</v>
      </c>
      <c r="BE64" s="362" t="s">
        <v>294</v>
      </c>
      <c r="BF64" s="362" t="s">
        <v>294</v>
      </c>
      <c r="BG64" s="362" t="s">
        <v>294</v>
      </c>
      <c r="BH64" s="362" t="s">
        <v>294</v>
      </c>
      <c r="BI64" s="362" t="s">
        <v>294</v>
      </c>
      <c r="BJ64" s="362" t="s">
        <v>294</v>
      </c>
      <c r="BK64" s="362" t="s">
        <v>294</v>
      </c>
      <c r="BL64" s="362" t="s">
        <v>294</v>
      </c>
      <c r="BM64" s="362" t="s">
        <v>294</v>
      </c>
      <c r="BN64" s="362" t="s">
        <v>294</v>
      </c>
      <c r="BO64" s="362" t="s">
        <v>294</v>
      </c>
      <c r="BP64" s="362" t="s">
        <v>294</v>
      </c>
      <c r="BQ64" s="362" t="s">
        <v>294</v>
      </c>
      <c r="BR64" s="362" t="s">
        <v>294</v>
      </c>
      <c r="BS64" s="362" t="s">
        <v>294</v>
      </c>
      <c r="BT64" s="362" t="s">
        <v>294</v>
      </c>
      <c r="BU64" s="362" t="s">
        <v>294</v>
      </c>
      <c r="BV64" s="362" t="s">
        <v>294</v>
      </c>
      <c r="BW64" s="362" t="s">
        <v>294</v>
      </c>
      <c r="BX64" s="362" t="s">
        <v>294</v>
      </c>
      <c r="BY64" s="362" t="s">
        <v>294</v>
      </c>
      <c r="BZ64" s="362" t="s">
        <v>294</v>
      </c>
      <c r="CA64" s="362">
        <v>1.1000000000000001</v>
      </c>
      <c r="CB64" s="362" t="s">
        <v>254</v>
      </c>
      <c r="CC64" s="362" t="s">
        <v>294</v>
      </c>
      <c r="CD64" s="362">
        <v>0.26</v>
      </c>
      <c r="CE64" s="362">
        <v>0.39</v>
      </c>
      <c r="CF64" s="362">
        <v>3.1</v>
      </c>
      <c r="CG64" s="362" t="s">
        <v>294</v>
      </c>
      <c r="CH64" s="362" t="s">
        <v>294</v>
      </c>
      <c r="CI64" s="362" t="s">
        <v>286</v>
      </c>
      <c r="CJ64" s="362" t="s">
        <v>254</v>
      </c>
      <c r="CK64" s="362" t="s">
        <v>294</v>
      </c>
      <c r="CL64" s="362" t="s">
        <v>251</v>
      </c>
      <c r="CM64" s="362" t="s">
        <v>294</v>
      </c>
      <c r="CN64" s="362" t="s">
        <v>288</v>
      </c>
      <c r="CO64" s="362" t="s">
        <v>259</v>
      </c>
      <c r="CP64" s="362">
        <v>4</v>
      </c>
      <c r="CQ64" s="362" t="s">
        <v>254</v>
      </c>
      <c r="CR64" s="362" t="s">
        <v>254</v>
      </c>
      <c r="CS64" s="362" t="s">
        <v>294</v>
      </c>
      <c r="CT64" s="362" t="s">
        <v>284</v>
      </c>
      <c r="CU64" s="362" t="s">
        <v>294</v>
      </c>
      <c r="CV64" s="362" t="s">
        <v>294</v>
      </c>
      <c r="CW64" s="362" t="s">
        <v>294</v>
      </c>
      <c r="CX64" s="362" t="s">
        <v>294</v>
      </c>
      <c r="CY64" s="362" t="s">
        <v>294</v>
      </c>
      <c r="CZ64" s="362" t="s">
        <v>294</v>
      </c>
      <c r="DA64" s="362" t="s">
        <v>294</v>
      </c>
      <c r="DB64" s="362" t="s">
        <v>294</v>
      </c>
      <c r="DC64" s="362" t="s">
        <v>294</v>
      </c>
      <c r="DD64" s="362" t="s">
        <v>294</v>
      </c>
      <c r="DE64" s="362" t="s">
        <v>294</v>
      </c>
      <c r="DF64" s="362" t="s">
        <v>294</v>
      </c>
      <c r="DG64" s="362" t="s">
        <v>294</v>
      </c>
      <c r="DH64" s="362" t="s">
        <v>294</v>
      </c>
      <c r="DI64" s="362" t="s">
        <v>294</v>
      </c>
      <c r="DJ64" s="362" t="s">
        <v>294</v>
      </c>
      <c r="DK64" s="362" t="s">
        <v>294</v>
      </c>
      <c r="DL64" s="362" t="s">
        <v>294</v>
      </c>
      <c r="DM64" s="362" t="s">
        <v>294</v>
      </c>
      <c r="DN64" s="362" t="s">
        <v>294</v>
      </c>
      <c r="DO64" s="362" t="s">
        <v>294</v>
      </c>
      <c r="DP64" s="362" t="s">
        <v>294</v>
      </c>
      <c r="DQ64" s="362" t="s">
        <v>294</v>
      </c>
    </row>
    <row r="65" spans="1:121" x14ac:dyDescent="0.25">
      <c r="A65" s="362" t="s">
        <v>123</v>
      </c>
      <c r="B65" s="56" t="str">
        <f>VLOOKUP(Table3[[#This Row],[Station]], StationName, 2, FALSE)</f>
        <v>I01-11010-1</v>
      </c>
      <c r="C65" s="362">
        <v>1726001</v>
      </c>
      <c r="D65" s="221">
        <v>44348.455555555556</v>
      </c>
      <c r="E65" s="362" t="s">
        <v>283</v>
      </c>
      <c r="F65" s="362">
        <v>89</v>
      </c>
      <c r="G65" s="362">
        <v>98</v>
      </c>
      <c r="H65" s="362">
        <v>95</v>
      </c>
      <c r="I65" s="362">
        <v>99</v>
      </c>
      <c r="J65" s="362">
        <v>81</v>
      </c>
      <c r="K65" s="362">
        <v>98</v>
      </c>
      <c r="L65" s="362">
        <v>95</v>
      </c>
      <c r="M65" s="362">
        <v>94</v>
      </c>
      <c r="N65" s="362">
        <v>94</v>
      </c>
      <c r="O65" s="362" t="s">
        <v>259</v>
      </c>
      <c r="P65" s="362" t="s">
        <v>259</v>
      </c>
      <c r="Q65" s="362" t="s">
        <v>259</v>
      </c>
      <c r="R65" s="362" t="s">
        <v>259</v>
      </c>
      <c r="S65" s="362" t="s">
        <v>259</v>
      </c>
      <c r="T65" s="362" t="s">
        <v>259</v>
      </c>
      <c r="U65" s="362" t="s">
        <v>256</v>
      </c>
      <c r="V65" s="362" t="s">
        <v>256</v>
      </c>
      <c r="W65" s="362" t="s">
        <v>256</v>
      </c>
      <c r="X65" s="362" t="s">
        <v>256</v>
      </c>
      <c r="Y65" s="362" t="s">
        <v>284</v>
      </c>
      <c r="Z65" s="362" t="s">
        <v>256</v>
      </c>
      <c r="AA65" s="362" t="s">
        <v>256</v>
      </c>
      <c r="AB65" s="362" t="s">
        <v>256</v>
      </c>
      <c r="AC65" s="362" t="s">
        <v>256</v>
      </c>
      <c r="AD65" s="362" t="s">
        <v>256</v>
      </c>
      <c r="AE65" s="362" t="s">
        <v>256</v>
      </c>
      <c r="AF65" s="362" t="s">
        <v>256</v>
      </c>
      <c r="AG65" s="362" t="s">
        <v>256</v>
      </c>
      <c r="AH65" s="362" t="s">
        <v>256</v>
      </c>
      <c r="AI65" s="362" t="s">
        <v>256</v>
      </c>
      <c r="AJ65" s="362" t="s">
        <v>248</v>
      </c>
      <c r="AK65" s="362" t="s">
        <v>259</v>
      </c>
      <c r="AL65" s="362" t="s">
        <v>259</v>
      </c>
      <c r="AM65" s="362" t="s">
        <v>251</v>
      </c>
      <c r="AN65" s="362" t="s">
        <v>256</v>
      </c>
      <c r="AO65" s="362" t="s">
        <v>259</v>
      </c>
      <c r="AP65" s="362" t="s">
        <v>251</v>
      </c>
      <c r="AQ65" s="362" t="s">
        <v>256</v>
      </c>
      <c r="AR65" s="362" t="s">
        <v>256</v>
      </c>
      <c r="AS65" s="362" t="s">
        <v>285</v>
      </c>
      <c r="AT65" s="362" t="s">
        <v>259</v>
      </c>
      <c r="AU65" s="362" t="s">
        <v>284</v>
      </c>
      <c r="AV65" s="362" t="s">
        <v>259</v>
      </c>
      <c r="AW65" s="362" t="s">
        <v>256</v>
      </c>
      <c r="AX65" s="362" t="s">
        <v>256</v>
      </c>
      <c r="AY65" s="362" t="s">
        <v>256</v>
      </c>
      <c r="AZ65" s="362" t="s">
        <v>256</v>
      </c>
      <c r="BA65" s="362" t="s">
        <v>256</v>
      </c>
      <c r="BB65" s="362" t="s">
        <v>259</v>
      </c>
      <c r="BC65" s="362" t="s">
        <v>286</v>
      </c>
      <c r="BD65" s="362" t="s">
        <v>248</v>
      </c>
      <c r="BE65" s="362" t="s">
        <v>259</v>
      </c>
      <c r="BF65" s="362" t="s">
        <v>248</v>
      </c>
      <c r="BG65" s="362">
        <v>1.66</v>
      </c>
      <c r="BH65" s="362" t="s">
        <v>256</v>
      </c>
      <c r="BI65" s="362" t="s">
        <v>256</v>
      </c>
      <c r="BJ65" s="362" t="s">
        <v>256</v>
      </c>
      <c r="BK65" s="362" t="s">
        <v>256</v>
      </c>
      <c r="BL65" s="362" t="s">
        <v>256</v>
      </c>
      <c r="BM65" s="362" t="s">
        <v>259</v>
      </c>
      <c r="BN65" s="362" t="s">
        <v>256</v>
      </c>
      <c r="BO65" s="362" t="s">
        <v>259</v>
      </c>
      <c r="BP65" s="362" t="s">
        <v>284</v>
      </c>
      <c r="BQ65" s="362" t="s">
        <v>256</v>
      </c>
      <c r="BR65" s="362" t="s">
        <v>256</v>
      </c>
      <c r="BS65" s="362">
        <v>1.25</v>
      </c>
      <c r="BT65" s="362" t="s">
        <v>284</v>
      </c>
      <c r="BU65" s="362">
        <v>1.78</v>
      </c>
      <c r="BV65" s="362" t="s">
        <v>248</v>
      </c>
      <c r="BW65" s="362" t="s">
        <v>285</v>
      </c>
      <c r="BX65" s="362" t="s">
        <v>287</v>
      </c>
      <c r="BY65" s="362" t="s">
        <v>259</v>
      </c>
      <c r="BZ65" s="362" t="s">
        <v>259</v>
      </c>
      <c r="CA65" s="362">
        <v>2</v>
      </c>
      <c r="CB65" s="362" t="s">
        <v>254</v>
      </c>
      <c r="CC65" s="362">
        <v>398</v>
      </c>
      <c r="CD65" s="362" t="s">
        <v>230</v>
      </c>
      <c r="CE65" s="362" t="s">
        <v>254</v>
      </c>
      <c r="CF65" s="362">
        <v>2</v>
      </c>
      <c r="CG65" s="362">
        <v>1</v>
      </c>
      <c r="CH65" s="362">
        <v>2480</v>
      </c>
      <c r="CI65" s="362" t="s">
        <v>286</v>
      </c>
      <c r="CJ65" s="362" t="s">
        <v>254</v>
      </c>
      <c r="CK65" s="362">
        <v>360</v>
      </c>
      <c r="CL65" s="362">
        <v>30</v>
      </c>
      <c r="CM65" s="362" t="s">
        <v>288</v>
      </c>
      <c r="CN65" s="362" t="s">
        <v>288</v>
      </c>
      <c r="CO65" s="362" t="s">
        <v>259</v>
      </c>
      <c r="CP65" s="362">
        <v>4</v>
      </c>
      <c r="CQ65" s="362" t="s">
        <v>254</v>
      </c>
      <c r="CR65" s="362" t="s">
        <v>254</v>
      </c>
      <c r="CS65" s="362">
        <v>5.0999999999999996</v>
      </c>
      <c r="CT65" s="362" t="s">
        <v>284</v>
      </c>
      <c r="CU65" s="362" t="s">
        <v>153</v>
      </c>
      <c r="CV65" s="362">
        <v>1500</v>
      </c>
      <c r="CW65" s="362">
        <v>0.35</v>
      </c>
      <c r="CX65" s="362">
        <v>0.66</v>
      </c>
      <c r="CY65" s="362">
        <v>0.11</v>
      </c>
      <c r="CZ65" s="362">
        <v>7.97</v>
      </c>
      <c r="DA65" s="362">
        <v>0.7</v>
      </c>
      <c r="DB65" s="362">
        <v>8200</v>
      </c>
      <c r="DC65" s="362">
        <v>2200</v>
      </c>
      <c r="DD65" s="362">
        <v>22.5</v>
      </c>
      <c r="DE65" s="362">
        <v>5800</v>
      </c>
      <c r="DF65" s="362" t="s">
        <v>289</v>
      </c>
      <c r="DG65" s="362">
        <v>0.6</v>
      </c>
      <c r="DH65" s="362">
        <v>0.66</v>
      </c>
      <c r="DI65" s="362">
        <v>140</v>
      </c>
      <c r="DJ65" s="362" t="s">
        <v>346</v>
      </c>
      <c r="DK65" s="362">
        <v>20</v>
      </c>
      <c r="DL65" s="362" t="s">
        <v>355</v>
      </c>
      <c r="DM65" s="362">
        <v>7.86</v>
      </c>
      <c r="DN65" s="362">
        <v>8.0299999999999994</v>
      </c>
      <c r="DO65" s="362">
        <v>8117.5</v>
      </c>
      <c r="DP65" s="362">
        <v>20.69</v>
      </c>
      <c r="DQ65" s="362">
        <v>1.44</v>
      </c>
    </row>
    <row r="66" spans="1:121" hidden="1" x14ac:dyDescent="0.25">
      <c r="A66" s="362" t="s">
        <v>123</v>
      </c>
      <c r="B66" s="56" t="str">
        <f>VLOOKUP(Table3[[#This Row],[Station]], StationName, 2, FALSE)</f>
        <v>I01-11010-1</v>
      </c>
      <c r="C66" s="362">
        <v>1726003</v>
      </c>
      <c r="D66" s="221">
        <v>44348.455555555556</v>
      </c>
      <c r="E66" s="362" t="s">
        <v>293</v>
      </c>
      <c r="F66" s="362" t="s">
        <v>294</v>
      </c>
      <c r="G66" s="362" t="s">
        <v>294</v>
      </c>
      <c r="H66" s="362" t="s">
        <v>294</v>
      </c>
      <c r="I66" s="362" t="s">
        <v>294</v>
      </c>
      <c r="J66" s="362" t="s">
        <v>294</v>
      </c>
      <c r="K66" s="362" t="s">
        <v>294</v>
      </c>
      <c r="L66" s="362" t="s">
        <v>294</v>
      </c>
      <c r="M66" s="362" t="s">
        <v>294</v>
      </c>
      <c r="N66" s="362" t="s">
        <v>294</v>
      </c>
      <c r="O66" s="362" t="s">
        <v>294</v>
      </c>
      <c r="P66" s="362" t="s">
        <v>294</v>
      </c>
      <c r="Q66" s="362" t="s">
        <v>294</v>
      </c>
      <c r="R66" s="362" t="s">
        <v>294</v>
      </c>
      <c r="S66" s="362" t="s">
        <v>294</v>
      </c>
      <c r="T66" s="362" t="s">
        <v>294</v>
      </c>
      <c r="U66" s="362" t="s">
        <v>294</v>
      </c>
      <c r="V66" s="362" t="s">
        <v>294</v>
      </c>
      <c r="W66" s="362" t="s">
        <v>294</v>
      </c>
      <c r="X66" s="362" t="s">
        <v>294</v>
      </c>
      <c r="Y66" s="362" t="s">
        <v>294</v>
      </c>
      <c r="Z66" s="362" t="s">
        <v>294</v>
      </c>
      <c r="AA66" s="362" t="s">
        <v>294</v>
      </c>
      <c r="AB66" s="362" t="s">
        <v>294</v>
      </c>
      <c r="AC66" s="362" t="s">
        <v>294</v>
      </c>
      <c r="AD66" s="362" t="s">
        <v>294</v>
      </c>
      <c r="AE66" s="362" t="s">
        <v>294</v>
      </c>
      <c r="AF66" s="362" t="s">
        <v>294</v>
      </c>
      <c r="AG66" s="362" t="s">
        <v>294</v>
      </c>
      <c r="AH66" s="362" t="s">
        <v>294</v>
      </c>
      <c r="AI66" s="362" t="s">
        <v>294</v>
      </c>
      <c r="AJ66" s="362" t="s">
        <v>294</v>
      </c>
      <c r="AK66" s="362" t="s">
        <v>294</v>
      </c>
      <c r="AL66" s="362" t="s">
        <v>294</v>
      </c>
      <c r="AM66" s="362" t="s">
        <v>294</v>
      </c>
      <c r="AN66" s="362" t="s">
        <v>294</v>
      </c>
      <c r="AO66" s="362" t="s">
        <v>294</v>
      </c>
      <c r="AP66" s="362" t="s">
        <v>294</v>
      </c>
      <c r="AQ66" s="362" t="s">
        <v>294</v>
      </c>
      <c r="AR66" s="362" t="s">
        <v>294</v>
      </c>
      <c r="AS66" s="362" t="s">
        <v>294</v>
      </c>
      <c r="AT66" s="362" t="s">
        <v>294</v>
      </c>
      <c r="AU66" s="362" t="s">
        <v>294</v>
      </c>
      <c r="AV66" s="362" t="s">
        <v>294</v>
      </c>
      <c r="AW66" s="362" t="s">
        <v>294</v>
      </c>
      <c r="AX66" s="362" t="s">
        <v>294</v>
      </c>
      <c r="AY66" s="362" t="s">
        <v>294</v>
      </c>
      <c r="AZ66" s="362" t="s">
        <v>294</v>
      </c>
      <c r="BA66" s="362" t="s">
        <v>294</v>
      </c>
      <c r="BB66" s="362" t="s">
        <v>294</v>
      </c>
      <c r="BC66" s="362" t="s">
        <v>294</v>
      </c>
      <c r="BD66" s="362" t="s">
        <v>294</v>
      </c>
      <c r="BE66" s="362" t="s">
        <v>294</v>
      </c>
      <c r="BF66" s="362" t="s">
        <v>294</v>
      </c>
      <c r="BG66" s="362" t="s">
        <v>294</v>
      </c>
      <c r="BH66" s="362" t="s">
        <v>294</v>
      </c>
      <c r="BI66" s="362" t="s">
        <v>294</v>
      </c>
      <c r="BJ66" s="362" t="s">
        <v>294</v>
      </c>
      <c r="BK66" s="362" t="s">
        <v>294</v>
      </c>
      <c r="BL66" s="362" t="s">
        <v>294</v>
      </c>
      <c r="BM66" s="362" t="s">
        <v>294</v>
      </c>
      <c r="BN66" s="362" t="s">
        <v>294</v>
      </c>
      <c r="BO66" s="362" t="s">
        <v>294</v>
      </c>
      <c r="BP66" s="362" t="s">
        <v>294</v>
      </c>
      <c r="BQ66" s="362" t="s">
        <v>294</v>
      </c>
      <c r="BR66" s="362" t="s">
        <v>294</v>
      </c>
      <c r="BS66" s="362" t="s">
        <v>294</v>
      </c>
      <c r="BT66" s="362" t="s">
        <v>294</v>
      </c>
      <c r="BU66" s="362" t="s">
        <v>294</v>
      </c>
      <c r="BV66" s="362" t="s">
        <v>294</v>
      </c>
      <c r="BW66" s="362" t="s">
        <v>294</v>
      </c>
      <c r="BX66" s="362" t="s">
        <v>294</v>
      </c>
      <c r="BY66" s="362" t="s">
        <v>294</v>
      </c>
      <c r="BZ66" s="362" t="s">
        <v>294</v>
      </c>
      <c r="CA66" s="362">
        <v>2</v>
      </c>
      <c r="CB66" s="362" t="s">
        <v>254</v>
      </c>
      <c r="CC66" s="362" t="s">
        <v>294</v>
      </c>
      <c r="CD66" s="362" t="s">
        <v>230</v>
      </c>
      <c r="CE66" s="362" t="s">
        <v>254</v>
      </c>
      <c r="CF66" s="362">
        <v>2.2999999999999998</v>
      </c>
      <c r="CG66" s="362" t="s">
        <v>294</v>
      </c>
      <c r="CH66" s="362" t="s">
        <v>294</v>
      </c>
      <c r="CI66" s="362" t="s">
        <v>286</v>
      </c>
      <c r="CJ66" s="362" t="s">
        <v>254</v>
      </c>
      <c r="CK66" s="362" t="s">
        <v>294</v>
      </c>
      <c r="CL66" s="362">
        <v>21</v>
      </c>
      <c r="CM66" s="362" t="s">
        <v>294</v>
      </c>
      <c r="CN66" s="362" t="s">
        <v>288</v>
      </c>
      <c r="CO66" s="362">
        <v>2</v>
      </c>
      <c r="CP66" s="362">
        <v>4.0999999999999996</v>
      </c>
      <c r="CQ66" s="362" t="s">
        <v>254</v>
      </c>
      <c r="CR66" s="362" t="s">
        <v>254</v>
      </c>
      <c r="CS66" s="362" t="s">
        <v>294</v>
      </c>
      <c r="CT66" s="362" t="s">
        <v>284</v>
      </c>
      <c r="CU66" s="362" t="s">
        <v>294</v>
      </c>
      <c r="CV66" s="362" t="s">
        <v>294</v>
      </c>
      <c r="CW66" s="362" t="s">
        <v>294</v>
      </c>
      <c r="CX66" s="362" t="s">
        <v>294</v>
      </c>
      <c r="CY66" s="362" t="s">
        <v>294</v>
      </c>
      <c r="CZ66" s="362" t="s">
        <v>294</v>
      </c>
      <c r="DA66" s="362" t="s">
        <v>294</v>
      </c>
      <c r="DB66" s="362" t="s">
        <v>294</v>
      </c>
      <c r="DC66" s="362" t="s">
        <v>294</v>
      </c>
      <c r="DD66" s="362" t="s">
        <v>294</v>
      </c>
      <c r="DE66" s="362" t="s">
        <v>294</v>
      </c>
      <c r="DF66" s="362" t="s">
        <v>294</v>
      </c>
      <c r="DG66" s="362" t="s">
        <v>294</v>
      </c>
      <c r="DH66" s="362" t="s">
        <v>294</v>
      </c>
      <c r="DI66" s="362" t="s">
        <v>294</v>
      </c>
      <c r="DJ66" s="362" t="s">
        <v>294</v>
      </c>
      <c r="DK66" s="362" t="s">
        <v>294</v>
      </c>
      <c r="DL66" s="362" t="s">
        <v>294</v>
      </c>
      <c r="DM66" s="362" t="s">
        <v>294</v>
      </c>
      <c r="DN66" s="362" t="s">
        <v>294</v>
      </c>
      <c r="DO66" s="362" t="s">
        <v>294</v>
      </c>
      <c r="DP66" s="362" t="s">
        <v>294</v>
      </c>
      <c r="DQ66" s="362" t="s">
        <v>294</v>
      </c>
    </row>
    <row r="67" spans="1:121" x14ac:dyDescent="0.25">
      <c r="A67" s="362" t="s">
        <v>356</v>
      </c>
      <c r="B67" s="56" t="str">
        <f>VLOOKUP(Table3[[#This Row],[Station]], StationName, 2, FALSE)</f>
        <v>M01-042-1 (M01S01)</v>
      </c>
      <c r="C67" s="362">
        <v>1744002</v>
      </c>
      <c r="D67" s="221">
        <v>44349.381249999999</v>
      </c>
      <c r="E67" s="362" t="s">
        <v>283</v>
      </c>
      <c r="F67" s="362">
        <v>74</v>
      </c>
      <c r="G67" s="362">
        <v>94</v>
      </c>
      <c r="H67" s="362">
        <v>98</v>
      </c>
      <c r="I67" s="362">
        <v>94</v>
      </c>
      <c r="J67" s="362">
        <v>55</v>
      </c>
      <c r="K67" s="362">
        <v>94</v>
      </c>
      <c r="L67" s="362">
        <v>103</v>
      </c>
      <c r="M67" s="362">
        <v>97</v>
      </c>
      <c r="N67" s="362">
        <v>83</v>
      </c>
      <c r="O67" s="362" t="s">
        <v>259</v>
      </c>
      <c r="P67" s="362" t="s">
        <v>259</v>
      </c>
      <c r="Q67" s="362" t="s">
        <v>259</v>
      </c>
      <c r="R67" s="362" t="s">
        <v>259</v>
      </c>
      <c r="S67" s="362" t="s">
        <v>259</v>
      </c>
      <c r="T67" s="362" t="s">
        <v>259</v>
      </c>
      <c r="U67" s="362" t="s">
        <v>256</v>
      </c>
      <c r="V67" s="362" t="s">
        <v>256</v>
      </c>
      <c r="W67" s="362" t="s">
        <v>256</v>
      </c>
      <c r="X67" s="362" t="s">
        <v>256</v>
      </c>
      <c r="Y67" s="362" t="s">
        <v>284</v>
      </c>
      <c r="Z67" s="362" t="s">
        <v>256</v>
      </c>
      <c r="AA67" s="362" t="s">
        <v>256</v>
      </c>
      <c r="AB67" s="362" t="s">
        <v>256</v>
      </c>
      <c r="AC67" s="362" t="s">
        <v>256</v>
      </c>
      <c r="AD67" s="362" t="s">
        <v>256</v>
      </c>
      <c r="AE67" s="362" t="s">
        <v>256</v>
      </c>
      <c r="AF67" s="362" t="s">
        <v>256</v>
      </c>
      <c r="AG67" s="362" t="s">
        <v>256</v>
      </c>
      <c r="AH67" s="362" t="s">
        <v>256</v>
      </c>
      <c r="AI67" s="362" t="s">
        <v>256</v>
      </c>
      <c r="AJ67" s="362" t="s">
        <v>248</v>
      </c>
      <c r="AK67" s="362" t="s">
        <v>259</v>
      </c>
      <c r="AL67" s="362" t="s">
        <v>259</v>
      </c>
      <c r="AM67" s="362" t="s">
        <v>251</v>
      </c>
      <c r="AN67" s="362" t="s">
        <v>256</v>
      </c>
      <c r="AO67" s="362" t="s">
        <v>259</v>
      </c>
      <c r="AP67" s="362" t="s">
        <v>251</v>
      </c>
      <c r="AQ67" s="362" t="s">
        <v>256</v>
      </c>
      <c r="AR67" s="362" t="s">
        <v>256</v>
      </c>
      <c r="AS67" s="362" t="s">
        <v>285</v>
      </c>
      <c r="AT67" s="362" t="s">
        <v>259</v>
      </c>
      <c r="AU67" s="362" t="s">
        <v>284</v>
      </c>
      <c r="AV67" s="362" t="s">
        <v>259</v>
      </c>
      <c r="AW67" s="362" t="s">
        <v>256</v>
      </c>
      <c r="AX67" s="362" t="s">
        <v>256</v>
      </c>
      <c r="AY67" s="362" t="s">
        <v>256</v>
      </c>
      <c r="AZ67" s="362" t="s">
        <v>256</v>
      </c>
      <c r="BA67" s="362" t="s">
        <v>256</v>
      </c>
      <c r="BB67" s="362" t="s">
        <v>259</v>
      </c>
      <c r="BC67" s="362" t="s">
        <v>286</v>
      </c>
      <c r="BD67" s="362" t="s">
        <v>248</v>
      </c>
      <c r="BE67" s="362" t="s">
        <v>259</v>
      </c>
      <c r="BF67" s="362" t="s">
        <v>248</v>
      </c>
      <c r="BG67" s="362" t="s">
        <v>256</v>
      </c>
      <c r="BH67" s="362" t="s">
        <v>256</v>
      </c>
      <c r="BI67" s="362" t="s">
        <v>256</v>
      </c>
      <c r="BJ67" s="362" t="s">
        <v>256</v>
      </c>
      <c r="BK67" s="362" t="s">
        <v>256</v>
      </c>
      <c r="BL67" s="362" t="s">
        <v>256</v>
      </c>
      <c r="BM67" s="362" t="s">
        <v>259</v>
      </c>
      <c r="BN67" s="362" t="s">
        <v>256</v>
      </c>
      <c r="BO67" s="362" t="s">
        <v>259</v>
      </c>
      <c r="BP67" s="362" t="s">
        <v>284</v>
      </c>
      <c r="BQ67" s="362" t="s">
        <v>256</v>
      </c>
      <c r="BR67" s="362" t="s">
        <v>256</v>
      </c>
      <c r="BS67" s="362" t="s">
        <v>256</v>
      </c>
      <c r="BT67" s="362" t="s">
        <v>284</v>
      </c>
      <c r="BU67" s="362" t="s">
        <v>256</v>
      </c>
      <c r="BV67" s="362" t="s">
        <v>248</v>
      </c>
      <c r="BW67" s="362" t="s">
        <v>285</v>
      </c>
      <c r="BX67" s="362" t="s">
        <v>287</v>
      </c>
      <c r="BY67" s="362" t="s">
        <v>259</v>
      </c>
      <c r="BZ67" s="362" t="s">
        <v>259</v>
      </c>
      <c r="CA67" s="362">
        <v>2.2000000000000002</v>
      </c>
      <c r="CB67" s="362">
        <v>170</v>
      </c>
      <c r="CC67" s="362">
        <v>391</v>
      </c>
      <c r="CD67" s="362" t="s">
        <v>153</v>
      </c>
      <c r="CE67" s="362">
        <v>0.93</v>
      </c>
      <c r="CF67" s="362">
        <v>7.1</v>
      </c>
      <c r="CG67" s="362">
        <v>19</v>
      </c>
      <c r="CH67" s="362">
        <v>7050</v>
      </c>
      <c r="CI67" s="362">
        <v>25</v>
      </c>
      <c r="CJ67" s="362">
        <v>0.21</v>
      </c>
      <c r="CK67" s="362">
        <v>1480</v>
      </c>
      <c r="CL67" s="362">
        <v>13000</v>
      </c>
      <c r="CM67" s="362">
        <v>0.05</v>
      </c>
      <c r="CN67" s="362" t="s">
        <v>288</v>
      </c>
      <c r="CO67" s="362">
        <v>1100</v>
      </c>
      <c r="CP67" s="362">
        <v>13</v>
      </c>
      <c r="CQ67" s="362" t="s">
        <v>254</v>
      </c>
      <c r="CR67" s="362">
        <v>0.38</v>
      </c>
      <c r="CS67" s="362">
        <v>20</v>
      </c>
      <c r="CT67" s="362">
        <v>520</v>
      </c>
      <c r="CU67" s="362">
        <v>1.2</v>
      </c>
      <c r="CV67" s="362">
        <v>1900</v>
      </c>
      <c r="CW67" s="362">
        <v>27</v>
      </c>
      <c r="CX67" s="362">
        <v>2</v>
      </c>
      <c r="CY67" s="362" t="s">
        <v>230</v>
      </c>
      <c r="CZ67" s="362">
        <v>7.31</v>
      </c>
      <c r="DA67" s="362">
        <v>0.81</v>
      </c>
      <c r="DB67" s="362">
        <v>18000</v>
      </c>
      <c r="DC67" s="362">
        <v>10000</v>
      </c>
      <c r="DD67" s="362">
        <v>22.7</v>
      </c>
      <c r="DE67" s="362">
        <v>17000</v>
      </c>
      <c r="DF67" s="362" t="s">
        <v>289</v>
      </c>
      <c r="DG67" s="362">
        <v>6.3</v>
      </c>
      <c r="DH67" s="362">
        <v>1.9</v>
      </c>
      <c r="DI67" s="362">
        <v>2900</v>
      </c>
      <c r="DJ67" s="362" t="s">
        <v>357</v>
      </c>
      <c r="DK67" s="362" t="s">
        <v>358</v>
      </c>
      <c r="DL67" s="362" t="s">
        <v>359</v>
      </c>
      <c r="DM67" s="362">
        <v>8.77</v>
      </c>
      <c r="DN67" s="362">
        <v>7.64</v>
      </c>
      <c r="DO67" s="362">
        <v>17432.3</v>
      </c>
      <c r="DP67" s="362">
        <v>17.98</v>
      </c>
      <c r="DQ67" s="362">
        <v>1.42</v>
      </c>
    </row>
    <row r="68" spans="1:121" hidden="1" x14ac:dyDescent="0.25">
      <c r="A68" s="362" t="s">
        <v>356</v>
      </c>
      <c r="B68" s="56" t="str">
        <f>VLOOKUP(Table3[[#This Row],[Station]], StationName, 2, FALSE)</f>
        <v>M01-042-1 (M01S01)</v>
      </c>
      <c r="C68" s="362">
        <v>1744008</v>
      </c>
      <c r="D68" s="221">
        <v>44349.381249999999</v>
      </c>
      <c r="E68" s="362" t="s">
        <v>293</v>
      </c>
      <c r="F68" s="362" t="s">
        <v>294</v>
      </c>
      <c r="G68" s="362" t="s">
        <v>294</v>
      </c>
      <c r="H68" s="362" t="s">
        <v>294</v>
      </c>
      <c r="I68" s="362" t="s">
        <v>294</v>
      </c>
      <c r="J68" s="362" t="s">
        <v>294</v>
      </c>
      <c r="K68" s="362" t="s">
        <v>294</v>
      </c>
      <c r="L68" s="362" t="s">
        <v>294</v>
      </c>
      <c r="M68" s="362" t="s">
        <v>294</v>
      </c>
      <c r="N68" s="362" t="s">
        <v>294</v>
      </c>
      <c r="O68" s="362" t="s">
        <v>294</v>
      </c>
      <c r="P68" s="362" t="s">
        <v>294</v>
      </c>
      <c r="Q68" s="362" t="s">
        <v>294</v>
      </c>
      <c r="R68" s="362" t="s">
        <v>294</v>
      </c>
      <c r="S68" s="362" t="s">
        <v>294</v>
      </c>
      <c r="T68" s="362" t="s">
        <v>294</v>
      </c>
      <c r="U68" s="362" t="s">
        <v>294</v>
      </c>
      <c r="V68" s="362" t="s">
        <v>294</v>
      </c>
      <c r="W68" s="362" t="s">
        <v>294</v>
      </c>
      <c r="X68" s="362" t="s">
        <v>294</v>
      </c>
      <c r="Y68" s="362" t="s">
        <v>294</v>
      </c>
      <c r="Z68" s="362" t="s">
        <v>294</v>
      </c>
      <c r="AA68" s="362" t="s">
        <v>294</v>
      </c>
      <c r="AB68" s="362" t="s">
        <v>294</v>
      </c>
      <c r="AC68" s="362" t="s">
        <v>294</v>
      </c>
      <c r="AD68" s="362" t="s">
        <v>294</v>
      </c>
      <c r="AE68" s="362" t="s">
        <v>294</v>
      </c>
      <c r="AF68" s="362" t="s">
        <v>294</v>
      </c>
      <c r="AG68" s="362" t="s">
        <v>294</v>
      </c>
      <c r="AH68" s="362" t="s">
        <v>294</v>
      </c>
      <c r="AI68" s="362" t="s">
        <v>294</v>
      </c>
      <c r="AJ68" s="362" t="s">
        <v>294</v>
      </c>
      <c r="AK68" s="362" t="s">
        <v>294</v>
      </c>
      <c r="AL68" s="362" t="s">
        <v>294</v>
      </c>
      <c r="AM68" s="362" t="s">
        <v>294</v>
      </c>
      <c r="AN68" s="362" t="s">
        <v>294</v>
      </c>
      <c r="AO68" s="362" t="s">
        <v>294</v>
      </c>
      <c r="AP68" s="362" t="s">
        <v>294</v>
      </c>
      <c r="AQ68" s="362" t="s">
        <v>294</v>
      </c>
      <c r="AR68" s="362" t="s">
        <v>294</v>
      </c>
      <c r="AS68" s="362" t="s">
        <v>294</v>
      </c>
      <c r="AT68" s="362" t="s">
        <v>294</v>
      </c>
      <c r="AU68" s="362" t="s">
        <v>294</v>
      </c>
      <c r="AV68" s="362" t="s">
        <v>294</v>
      </c>
      <c r="AW68" s="362" t="s">
        <v>294</v>
      </c>
      <c r="AX68" s="362" t="s">
        <v>294</v>
      </c>
      <c r="AY68" s="362" t="s">
        <v>294</v>
      </c>
      <c r="AZ68" s="362" t="s">
        <v>294</v>
      </c>
      <c r="BA68" s="362" t="s">
        <v>294</v>
      </c>
      <c r="BB68" s="362" t="s">
        <v>294</v>
      </c>
      <c r="BC68" s="362" t="s">
        <v>294</v>
      </c>
      <c r="BD68" s="362" t="s">
        <v>294</v>
      </c>
      <c r="BE68" s="362" t="s">
        <v>294</v>
      </c>
      <c r="BF68" s="362" t="s">
        <v>294</v>
      </c>
      <c r="BG68" s="362" t="s">
        <v>294</v>
      </c>
      <c r="BH68" s="362" t="s">
        <v>294</v>
      </c>
      <c r="BI68" s="362" t="s">
        <v>294</v>
      </c>
      <c r="BJ68" s="362" t="s">
        <v>294</v>
      </c>
      <c r="BK68" s="362" t="s">
        <v>294</v>
      </c>
      <c r="BL68" s="362" t="s">
        <v>294</v>
      </c>
      <c r="BM68" s="362" t="s">
        <v>294</v>
      </c>
      <c r="BN68" s="362" t="s">
        <v>294</v>
      </c>
      <c r="BO68" s="362" t="s">
        <v>294</v>
      </c>
      <c r="BP68" s="362" t="s">
        <v>294</v>
      </c>
      <c r="BQ68" s="362" t="s">
        <v>294</v>
      </c>
      <c r="BR68" s="362" t="s">
        <v>294</v>
      </c>
      <c r="BS68" s="362" t="s">
        <v>294</v>
      </c>
      <c r="BT68" s="362" t="s">
        <v>294</v>
      </c>
      <c r="BU68" s="362" t="s">
        <v>294</v>
      </c>
      <c r="BV68" s="362" t="s">
        <v>294</v>
      </c>
      <c r="BW68" s="362" t="s">
        <v>294</v>
      </c>
      <c r="BX68" s="362" t="s">
        <v>294</v>
      </c>
      <c r="BY68" s="362" t="s">
        <v>294</v>
      </c>
      <c r="BZ68" s="362" t="s">
        <v>294</v>
      </c>
      <c r="CA68" s="362">
        <v>1.8</v>
      </c>
      <c r="CB68" s="362">
        <v>170</v>
      </c>
      <c r="CC68" s="362" t="s">
        <v>294</v>
      </c>
      <c r="CD68" s="362" t="s">
        <v>153</v>
      </c>
      <c r="CE68" s="362">
        <v>0.86</v>
      </c>
      <c r="CF68" s="362">
        <v>7.1</v>
      </c>
      <c r="CG68" s="362" t="s">
        <v>294</v>
      </c>
      <c r="CH68" s="362" t="s">
        <v>294</v>
      </c>
      <c r="CI68" s="362" t="s">
        <v>286</v>
      </c>
      <c r="CJ68" s="362" t="s">
        <v>254</v>
      </c>
      <c r="CK68" s="362" t="s">
        <v>294</v>
      </c>
      <c r="CL68" s="362">
        <v>13000</v>
      </c>
      <c r="CM68" s="362" t="s">
        <v>294</v>
      </c>
      <c r="CN68" s="362" t="s">
        <v>288</v>
      </c>
      <c r="CO68" s="362">
        <v>1100</v>
      </c>
      <c r="CP68" s="362">
        <v>12</v>
      </c>
      <c r="CQ68" s="362" t="s">
        <v>254</v>
      </c>
      <c r="CR68" s="362">
        <v>0.31</v>
      </c>
      <c r="CS68" s="362" t="s">
        <v>294</v>
      </c>
      <c r="CT68" s="362">
        <v>510</v>
      </c>
      <c r="CU68" s="362" t="s">
        <v>294</v>
      </c>
      <c r="CV68" s="362" t="s">
        <v>294</v>
      </c>
      <c r="CW68" s="362" t="s">
        <v>294</v>
      </c>
      <c r="CX68" s="362" t="s">
        <v>294</v>
      </c>
      <c r="CY68" s="362" t="s">
        <v>294</v>
      </c>
      <c r="CZ68" s="362" t="s">
        <v>294</v>
      </c>
      <c r="DA68" s="362" t="s">
        <v>294</v>
      </c>
      <c r="DB68" s="362" t="s">
        <v>294</v>
      </c>
      <c r="DC68" s="362" t="s">
        <v>294</v>
      </c>
      <c r="DD68" s="362" t="s">
        <v>294</v>
      </c>
      <c r="DE68" s="362" t="s">
        <v>294</v>
      </c>
      <c r="DF68" s="362" t="s">
        <v>294</v>
      </c>
      <c r="DG68" s="362" t="s">
        <v>294</v>
      </c>
      <c r="DH68" s="362" t="s">
        <v>294</v>
      </c>
      <c r="DI68" s="362" t="s">
        <v>294</v>
      </c>
      <c r="DJ68" s="362" t="s">
        <v>294</v>
      </c>
      <c r="DK68" s="362" t="s">
        <v>294</v>
      </c>
      <c r="DL68" s="362" t="s">
        <v>294</v>
      </c>
      <c r="DM68" s="362" t="s">
        <v>294</v>
      </c>
      <c r="DN68" s="362" t="s">
        <v>294</v>
      </c>
      <c r="DO68" s="362" t="s">
        <v>294</v>
      </c>
      <c r="DP68" s="362" t="s">
        <v>294</v>
      </c>
      <c r="DQ68" s="362" t="s">
        <v>294</v>
      </c>
    </row>
    <row r="69" spans="1:121" x14ac:dyDescent="0.25">
      <c r="A69" s="362" t="s">
        <v>160</v>
      </c>
      <c r="B69" s="56" t="str">
        <f>VLOOKUP(Table3[[#This Row],[Station]], StationName, 2, FALSE)</f>
        <v>M02-032-1</v>
      </c>
      <c r="C69" s="362">
        <v>1744003</v>
      </c>
      <c r="D69" s="221">
        <v>44349.381944444445</v>
      </c>
      <c r="E69" s="362" t="s">
        <v>283</v>
      </c>
      <c r="F69" s="362">
        <v>60</v>
      </c>
      <c r="G69" s="362">
        <v>73</v>
      </c>
      <c r="H69" s="362">
        <v>72</v>
      </c>
      <c r="I69" s="362">
        <v>67</v>
      </c>
      <c r="J69" s="362">
        <v>49</v>
      </c>
      <c r="K69" s="362">
        <v>61</v>
      </c>
      <c r="L69" s="362">
        <v>55</v>
      </c>
      <c r="M69" s="362">
        <v>48</v>
      </c>
      <c r="N69" s="362">
        <v>56</v>
      </c>
      <c r="O69" s="362" t="s">
        <v>259</v>
      </c>
      <c r="P69" s="362" t="s">
        <v>259</v>
      </c>
      <c r="Q69" s="362" t="s">
        <v>259</v>
      </c>
      <c r="R69" s="362" t="s">
        <v>259</v>
      </c>
      <c r="S69" s="362" t="s">
        <v>259</v>
      </c>
      <c r="T69" s="362" t="s">
        <v>259</v>
      </c>
      <c r="U69" s="362" t="s">
        <v>256</v>
      </c>
      <c r="V69" s="362" t="s">
        <v>256</v>
      </c>
      <c r="W69" s="362" t="s">
        <v>256</v>
      </c>
      <c r="X69" s="362" t="s">
        <v>256</v>
      </c>
      <c r="Y69" s="362" t="s">
        <v>284</v>
      </c>
      <c r="Z69" s="362" t="s">
        <v>256</v>
      </c>
      <c r="AA69" s="362" t="s">
        <v>256</v>
      </c>
      <c r="AB69" s="362" t="s">
        <v>256</v>
      </c>
      <c r="AC69" s="362" t="s">
        <v>256</v>
      </c>
      <c r="AD69" s="362" t="s">
        <v>256</v>
      </c>
      <c r="AE69" s="362" t="s">
        <v>256</v>
      </c>
      <c r="AF69" s="362" t="s">
        <v>256</v>
      </c>
      <c r="AG69" s="362" t="s">
        <v>256</v>
      </c>
      <c r="AH69" s="362" t="s">
        <v>256</v>
      </c>
      <c r="AI69" s="362" t="s">
        <v>256</v>
      </c>
      <c r="AJ69" s="362" t="s">
        <v>248</v>
      </c>
      <c r="AK69" s="362" t="s">
        <v>259</v>
      </c>
      <c r="AL69" s="362" t="s">
        <v>259</v>
      </c>
      <c r="AM69" s="362" t="s">
        <v>251</v>
      </c>
      <c r="AN69" s="362" t="s">
        <v>256</v>
      </c>
      <c r="AO69" s="362" t="s">
        <v>259</v>
      </c>
      <c r="AP69" s="362" t="s">
        <v>251</v>
      </c>
      <c r="AQ69" s="362" t="s">
        <v>256</v>
      </c>
      <c r="AR69" s="362" t="s">
        <v>256</v>
      </c>
      <c r="AS69" s="362" t="s">
        <v>285</v>
      </c>
      <c r="AT69" s="362" t="s">
        <v>259</v>
      </c>
      <c r="AU69" s="362" t="s">
        <v>284</v>
      </c>
      <c r="AV69" s="362" t="s">
        <v>259</v>
      </c>
      <c r="AW69" s="362" t="s">
        <v>256</v>
      </c>
      <c r="AX69" s="362" t="s">
        <v>256</v>
      </c>
      <c r="AY69" s="362" t="s">
        <v>256</v>
      </c>
      <c r="AZ69" s="362" t="s">
        <v>256</v>
      </c>
      <c r="BA69" s="362" t="s">
        <v>256</v>
      </c>
      <c r="BB69" s="362" t="s">
        <v>259</v>
      </c>
      <c r="BC69" s="362" t="s">
        <v>286</v>
      </c>
      <c r="BD69" s="362" t="s">
        <v>248</v>
      </c>
      <c r="BE69" s="362" t="s">
        <v>259</v>
      </c>
      <c r="BF69" s="362" t="s">
        <v>248</v>
      </c>
      <c r="BG69" s="362" t="s">
        <v>256</v>
      </c>
      <c r="BH69" s="362" t="s">
        <v>256</v>
      </c>
      <c r="BI69" s="362" t="s">
        <v>256</v>
      </c>
      <c r="BJ69" s="362" t="s">
        <v>256</v>
      </c>
      <c r="BK69" s="362" t="s">
        <v>256</v>
      </c>
      <c r="BL69" s="362" t="s">
        <v>256</v>
      </c>
      <c r="BM69" s="362" t="s">
        <v>259</v>
      </c>
      <c r="BN69" s="362" t="s">
        <v>256</v>
      </c>
      <c r="BO69" s="362" t="s">
        <v>259</v>
      </c>
      <c r="BP69" s="362" t="s">
        <v>284</v>
      </c>
      <c r="BQ69" s="362" t="s">
        <v>256</v>
      </c>
      <c r="BR69" s="362" t="s">
        <v>256</v>
      </c>
      <c r="BS69" s="362">
        <v>1.0900000000000001</v>
      </c>
      <c r="BT69" s="362" t="s">
        <v>284</v>
      </c>
      <c r="BU69" s="362">
        <v>1.88</v>
      </c>
      <c r="BV69" s="362" t="s">
        <v>248</v>
      </c>
      <c r="BW69" s="362" t="s">
        <v>285</v>
      </c>
      <c r="BX69" s="362" t="s">
        <v>287</v>
      </c>
      <c r="BY69" s="362" t="s">
        <v>259</v>
      </c>
      <c r="BZ69" s="362" t="s">
        <v>259</v>
      </c>
      <c r="CA69" s="362">
        <v>4.0999999999999996</v>
      </c>
      <c r="CB69" s="362">
        <v>1.7</v>
      </c>
      <c r="CC69" s="362">
        <v>199</v>
      </c>
      <c r="CD69" s="362">
        <v>0.12</v>
      </c>
      <c r="CE69" s="362">
        <v>11</v>
      </c>
      <c r="CF69" s="362">
        <v>11</v>
      </c>
      <c r="CG69" s="362">
        <v>11</v>
      </c>
      <c r="CH69" s="362">
        <v>801</v>
      </c>
      <c r="CI69" s="362">
        <v>7600</v>
      </c>
      <c r="CJ69" s="362">
        <v>1.4</v>
      </c>
      <c r="CK69" s="362">
        <v>73.900000000000006</v>
      </c>
      <c r="CL69" s="362">
        <v>320</v>
      </c>
      <c r="CM69" s="362" t="s">
        <v>288</v>
      </c>
      <c r="CN69" s="362" t="s">
        <v>288</v>
      </c>
      <c r="CO69" s="362">
        <v>20</v>
      </c>
      <c r="CP69" s="362">
        <v>3</v>
      </c>
      <c r="CQ69" s="362" t="s">
        <v>254</v>
      </c>
      <c r="CR69" s="362">
        <v>0.2</v>
      </c>
      <c r="CS69" s="362">
        <v>12</v>
      </c>
      <c r="CT69" s="362">
        <v>44</v>
      </c>
      <c r="CU69" s="362">
        <v>1</v>
      </c>
      <c r="CV69" s="362">
        <v>330</v>
      </c>
      <c r="CW69" s="362">
        <v>4.7</v>
      </c>
      <c r="CX69" s="362">
        <v>3</v>
      </c>
      <c r="CY69" s="362">
        <v>0.46</v>
      </c>
      <c r="CZ69" s="362">
        <v>7.96</v>
      </c>
      <c r="DA69" s="362">
        <v>1.6</v>
      </c>
      <c r="DB69" s="362">
        <v>2800</v>
      </c>
      <c r="DC69" s="362">
        <v>740</v>
      </c>
      <c r="DD69" s="362">
        <v>22.7</v>
      </c>
      <c r="DE69" s="362">
        <v>1800</v>
      </c>
      <c r="DF69" s="362">
        <v>26</v>
      </c>
      <c r="DG69" s="362">
        <v>260</v>
      </c>
      <c r="DH69" s="362">
        <v>100</v>
      </c>
      <c r="DI69" s="362">
        <v>2100</v>
      </c>
      <c r="DJ69" s="362">
        <v>870</v>
      </c>
      <c r="DK69" s="362">
        <v>710</v>
      </c>
      <c r="DL69" s="362" t="s">
        <v>323</v>
      </c>
      <c r="DM69" s="362">
        <v>8.18</v>
      </c>
      <c r="DN69" s="362">
        <v>8.42</v>
      </c>
      <c r="DO69" s="362">
        <v>3922</v>
      </c>
      <c r="DP69" s="362">
        <v>18.579999999999998</v>
      </c>
      <c r="DQ69" s="362">
        <v>76.400000000000006</v>
      </c>
    </row>
    <row r="70" spans="1:121" hidden="1" x14ac:dyDescent="0.25">
      <c r="A70" s="362" t="s">
        <v>160</v>
      </c>
      <c r="B70" s="56" t="str">
        <f>VLOOKUP(Table3[[#This Row],[Station]], StationName, 2, FALSE)</f>
        <v>M02-032-1</v>
      </c>
      <c r="C70" s="362">
        <v>1744009</v>
      </c>
      <c r="D70" s="221">
        <v>44349.381944444445</v>
      </c>
      <c r="E70" s="362" t="s">
        <v>293</v>
      </c>
      <c r="F70" s="362" t="s">
        <v>294</v>
      </c>
      <c r="G70" s="362" t="s">
        <v>294</v>
      </c>
      <c r="H70" s="362" t="s">
        <v>294</v>
      </c>
      <c r="I70" s="362" t="s">
        <v>294</v>
      </c>
      <c r="J70" s="362" t="s">
        <v>294</v>
      </c>
      <c r="K70" s="362" t="s">
        <v>294</v>
      </c>
      <c r="L70" s="362" t="s">
        <v>294</v>
      </c>
      <c r="M70" s="362" t="s">
        <v>294</v>
      </c>
      <c r="N70" s="362" t="s">
        <v>294</v>
      </c>
      <c r="O70" s="362" t="s">
        <v>294</v>
      </c>
      <c r="P70" s="362" t="s">
        <v>294</v>
      </c>
      <c r="Q70" s="362" t="s">
        <v>294</v>
      </c>
      <c r="R70" s="362" t="s">
        <v>294</v>
      </c>
      <c r="S70" s="362" t="s">
        <v>294</v>
      </c>
      <c r="T70" s="362" t="s">
        <v>294</v>
      </c>
      <c r="U70" s="362" t="s">
        <v>294</v>
      </c>
      <c r="V70" s="362" t="s">
        <v>294</v>
      </c>
      <c r="W70" s="362" t="s">
        <v>294</v>
      </c>
      <c r="X70" s="362" t="s">
        <v>294</v>
      </c>
      <c r="Y70" s="362" t="s">
        <v>294</v>
      </c>
      <c r="Z70" s="362" t="s">
        <v>294</v>
      </c>
      <c r="AA70" s="362" t="s">
        <v>294</v>
      </c>
      <c r="AB70" s="362" t="s">
        <v>294</v>
      </c>
      <c r="AC70" s="362" t="s">
        <v>294</v>
      </c>
      <c r="AD70" s="362" t="s">
        <v>294</v>
      </c>
      <c r="AE70" s="362" t="s">
        <v>294</v>
      </c>
      <c r="AF70" s="362" t="s">
        <v>294</v>
      </c>
      <c r="AG70" s="362" t="s">
        <v>294</v>
      </c>
      <c r="AH70" s="362" t="s">
        <v>294</v>
      </c>
      <c r="AI70" s="362" t="s">
        <v>294</v>
      </c>
      <c r="AJ70" s="362" t="s">
        <v>294</v>
      </c>
      <c r="AK70" s="362" t="s">
        <v>294</v>
      </c>
      <c r="AL70" s="362" t="s">
        <v>294</v>
      </c>
      <c r="AM70" s="362" t="s">
        <v>294</v>
      </c>
      <c r="AN70" s="362" t="s">
        <v>294</v>
      </c>
      <c r="AO70" s="362" t="s">
        <v>294</v>
      </c>
      <c r="AP70" s="362" t="s">
        <v>294</v>
      </c>
      <c r="AQ70" s="362" t="s">
        <v>294</v>
      </c>
      <c r="AR70" s="362" t="s">
        <v>294</v>
      </c>
      <c r="AS70" s="362" t="s">
        <v>294</v>
      </c>
      <c r="AT70" s="362" t="s">
        <v>294</v>
      </c>
      <c r="AU70" s="362" t="s">
        <v>294</v>
      </c>
      <c r="AV70" s="362" t="s">
        <v>294</v>
      </c>
      <c r="AW70" s="362" t="s">
        <v>294</v>
      </c>
      <c r="AX70" s="362" t="s">
        <v>294</v>
      </c>
      <c r="AY70" s="362" t="s">
        <v>294</v>
      </c>
      <c r="AZ70" s="362" t="s">
        <v>294</v>
      </c>
      <c r="BA70" s="362" t="s">
        <v>294</v>
      </c>
      <c r="BB70" s="362" t="s">
        <v>294</v>
      </c>
      <c r="BC70" s="362" t="s">
        <v>294</v>
      </c>
      <c r="BD70" s="362" t="s">
        <v>294</v>
      </c>
      <c r="BE70" s="362" t="s">
        <v>294</v>
      </c>
      <c r="BF70" s="362" t="s">
        <v>294</v>
      </c>
      <c r="BG70" s="362" t="s">
        <v>294</v>
      </c>
      <c r="BH70" s="362" t="s">
        <v>294</v>
      </c>
      <c r="BI70" s="362" t="s">
        <v>294</v>
      </c>
      <c r="BJ70" s="362" t="s">
        <v>294</v>
      </c>
      <c r="BK70" s="362" t="s">
        <v>294</v>
      </c>
      <c r="BL70" s="362" t="s">
        <v>294</v>
      </c>
      <c r="BM70" s="362" t="s">
        <v>294</v>
      </c>
      <c r="BN70" s="362" t="s">
        <v>294</v>
      </c>
      <c r="BO70" s="362" t="s">
        <v>294</v>
      </c>
      <c r="BP70" s="362" t="s">
        <v>294</v>
      </c>
      <c r="BQ70" s="362" t="s">
        <v>294</v>
      </c>
      <c r="BR70" s="362" t="s">
        <v>294</v>
      </c>
      <c r="BS70" s="362" t="s">
        <v>294</v>
      </c>
      <c r="BT70" s="362" t="s">
        <v>294</v>
      </c>
      <c r="BU70" s="362" t="s">
        <v>294</v>
      </c>
      <c r="BV70" s="362" t="s">
        <v>294</v>
      </c>
      <c r="BW70" s="362" t="s">
        <v>294</v>
      </c>
      <c r="BX70" s="362" t="s">
        <v>294</v>
      </c>
      <c r="BY70" s="362" t="s">
        <v>294</v>
      </c>
      <c r="BZ70" s="362" t="s">
        <v>294</v>
      </c>
      <c r="CA70" s="362">
        <v>3.3</v>
      </c>
      <c r="CB70" s="362">
        <v>0.92</v>
      </c>
      <c r="CC70" s="362" t="s">
        <v>294</v>
      </c>
      <c r="CD70" s="362">
        <v>0.13</v>
      </c>
      <c r="CE70" s="362">
        <v>0.77</v>
      </c>
      <c r="CF70" s="362">
        <v>3.5</v>
      </c>
      <c r="CG70" s="362" t="s">
        <v>294</v>
      </c>
      <c r="CH70" s="362" t="s">
        <v>294</v>
      </c>
      <c r="CI70" s="362">
        <v>320</v>
      </c>
      <c r="CJ70" s="362" t="s">
        <v>254</v>
      </c>
      <c r="CK70" s="362" t="s">
        <v>294</v>
      </c>
      <c r="CL70" s="362">
        <v>120</v>
      </c>
      <c r="CM70" s="362" t="s">
        <v>294</v>
      </c>
      <c r="CN70" s="362" t="s">
        <v>288</v>
      </c>
      <c r="CO70" s="362">
        <v>11</v>
      </c>
      <c r="CP70" s="362">
        <v>2.7</v>
      </c>
      <c r="CQ70" s="362" t="s">
        <v>254</v>
      </c>
      <c r="CR70" s="362" t="s">
        <v>254</v>
      </c>
      <c r="CS70" s="362" t="s">
        <v>294</v>
      </c>
      <c r="CT70" s="362" t="s">
        <v>284</v>
      </c>
      <c r="CU70" s="362" t="s">
        <v>294</v>
      </c>
      <c r="CV70" s="362" t="s">
        <v>294</v>
      </c>
      <c r="CW70" s="362" t="s">
        <v>294</v>
      </c>
      <c r="CX70" s="362" t="s">
        <v>294</v>
      </c>
      <c r="CY70" s="362" t="s">
        <v>294</v>
      </c>
      <c r="CZ70" s="362" t="s">
        <v>294</v>
      </c>
      <c r="DA70" s="362" t="s">
        <v>294</v>
      </c>
      <c r="DB70" s="362" t="s">
        <v>294</v>
      </c>
      <c r="DC70" s="362" t="s">
        <v>294</v>
      </c>
      <c r="DD70" s="362" t="s">
        <v>294</v>
      </c>
      <c r="DE70" s="362" t="s">
        <v>294</v>
      </c>
      <c r="DF70" s="362" t="s">
        <v>294</v>
      </c>
      <c r="DG70" s="362" t="s">
        <v>294</v>
      </c>
      <c r="DH70" s="362" t="s">
        <v>294</v>
      </c>
      <c r="DI70" s="362" t="s">
        <v>294</v>
      </c>
      <c r="DJ70" s="362" t="s">
        <v>294</v>
      </c>
      <c r="DK70" s="362" t="s">
        <v>294</v>
      </c>
      <c r="DL70" s="362" t="s">
        <v>294</v>
      </c>
      <c r="DM70" s="362" t="s">
        <v>294</v>
      </c>
      <c r="DN70" s="362" t="s">
        <v>294</v>
      </c>
      <c r="DO70" s="362" t="s">
        <v>294</v>
      </c>
      <c r="DP70" s="362" t="s">
        <v>294</v>
      </c>
      <c r="DQ70" s="362" t="s">
        <v>294</v>
      </c>
    </row>
    <row r="71" spans="1:121" x14ac:dyDescent="0.25">
      <c r="A71" s="362" t="s">
        <v>161</v>
      </c>
      <c r="B71" s="56" t="str">
        <f>VLOOKUP(Table3[[#This Row],[Station]], StationName, 2, FALSE)</f>
        <v>M02-052-2</v>
      </c>
      <c r="C71" s="362">
        <v>1744004</v>
      </c>
      <c r="D71" s="221">
        <v>44349.416666666664</v>
      </c>
      <c r="E71" s="362" t="s">
        <v>283</v>
      </c>
      <c r="F71" s="362">
        <v>69</v>
      </c>
      <c r="G71" s="362">
        <v>82</v>
      </c>
      <c r="H71" s="362">
        <v>87</v>
      </c>
      <c r="I71" s="362">
        <v>82</v>
      </c>
      <c r="J71" s="362">
        <v>53</v>
      </c>
      <c r="K71" s="362">
        <v>71</v>
      </c>
      <c r="L71" s="362">
        <v>75</v>
      </c>
      <c r="M71" s="362">
        <v>69</v>
      </c>
      <c r="N71" s="362">
        <v>62</v>
      </c>
      <c r="O71" s="362" t="s">
        <v>259</v>
      </c>
      <c r="P71" s="362" t="s">
        <v>259</v>
      </c>
      <c r="Q71" s="362" t="s">
        <v>259</v>
      </c>
      <c r="R71" s="362" t="s">
        <v>259</v>
      </c>
      <c r="S71" s="362" t="s">
        <v>259</v>
      </c>
      <c r="T71" s="362" t="s">
        <v>259</v>
      </c>
      <c r="U71" s="362" t="s">
        <v>256</v>
      </c>
      <c r="V71" s="362" t="s">
        <v>256</v>
      </c>
      <c r="W71" s="362" t="s">
        <v>256</v>
      </c>
      <c r="X71" s="362" t="s">
        <v>256</v>
      </c>
      <c r="Y71" s="362" t="s">
        <v>284</v>
      </c>
      <c r="Z71" s="362" t="s">
        <v>256</v>
      </c>
      <c r="AA71" s="362" t="s">
        <v>256</v>
      </c>
      <c r="AB71" s="362" t="s">
        <v>256</v>
      </c>
      <c r="AC71" s="362" t="s">
        <v>256</v>
      </c>
      <c r="AD71" s="362" t="s">
        <v>256</v>
      </c>
      <c r="AE71" s="362" t="s">
        <v>256</v>
      </c>
      <c r="AF71" s="362" t="s">
        <v>256</v>
      </c>
      <c r="AG71" s="362" t="s">
        <v>256</v>
      </c>
      <c r="AH71" s="362" t="s">
        <v>256</v>
      </c>
      <c r="AI71" s="362" t="s">
        <v>256</v>
      </c>
      <c r="AJ71" s="362" t="s">
        <v>248</v>
      </c>
      <c r="AK71" s="362" t="s">
        <v>259</v>
      </c>
      <c r="AL71" s="362" t="s">
        <v>259</v>
      </c>
      <c r="AM71" s="362" t="s">
        <v>251</v>
      </c>
      <c r="AN71" s="362" t="s">
        <v>256</v>
      </c>
      <c r="AO71" s="362" t="s">
        <v>259</v>
      </c>
      <c r="AP71" s="362" t="s">
        <v>251</v>
      </c>
      <c r="AQ71" s="362" t="s">
        <v>256</v>
      </c>
      <c r="AR71" s="362" t="s">
        <v>256</v>
      </c>
      <c r="AS71" s="362" t="s">
        <v>285</v>
      </c>
      <c r="AT71" s="362" t="s">
        <v>259</v>
      </c>
      <c r="AU71" s="362" t="s">
        <v>284</v>
      </c>
      <c r="AV71" s="362" t="s">
        <v>259</v>
      </c>
      <c r="AW71" s="362" t="s">
        <v>256</v>
      </c>
      <c r="AX71" s="362" t="s">
        <v>256</v>
      </c>
      <c r="AY71" s="362" t="s">
        <v>256</v>
      </c>
      <c r="AZ71" s="362" t="s">
        <v>256</v>
      </c>
      <c r="BA71" s="362" t="s">
        <v>256</v>
      </c>
      <c r="BB71" s="362" t="s">
        <v>259</v>
      </c>
      <c r="BC71" s="362" t="s">
        <v>286</v>
      </c>
      <c r="BD71" s="362" t="s">
        <v>248</v>
      </c>
      <c r="BE71" s="362" t="s">
        <v>259</v>
      </c>
      <c r="BF71" s="362" t="s">
        <v>248</v>
      </c>
      <c r="BG71" s="362" t="s">
        <v>256</v>
      </c>
      <c r="BH71" s="362" t="s">
        <v>256</v>
      </c>
      <c r="BI71" s="362" t="s">
        <v>256</v>
      </c>
      <c r="BJ71" s="362" t="s">
        <v>256</v>
      </c>
      <c r="BK71" s="362" t="s">
        <v>256</v>
      </c>
      <c r="BL71" s="362" t="s">
        <v>256</v>
      </c>
      <c r="BM71" s="362" t="s">
        <v>259</v>
      </c>
      <c r="BN71" s="362" t="s">
        <v>256</v>
      </c>
      <c r="BO71" s="362" t="s">
        <v>259</v>
      </c>
      <c r="BP71" s="362" t="s">
        <v>284</v>
      </c>
      <c r="BQ71" s="362" t="s">
        <v>256</v>
      </c>
      <c r="BR71" s="362" t="s">
        <v>256</v>
      </c>
      <c r="BS71" s="362" t="s">
        <v>256</v>
      </c>
      <c r="BT71" s="362" t="s">
        <v>284</v>
      </c>
      <c r="BU71" s="362" t="s">
        <v>256</v>
      </c>
      <c r="BV71" s="362" t="s">
        <v>248</v>
      </c>
      <c r="BW71" s="362" t="s">
        <v>285</v>
      </c>
      <c r="BX71" s="362" t="s">
        <v>287</v>
      </c>
      <c r="BY71" s="362" t="s">
        <v>259</v>
      </c>
      <c r="BZ71" s="362" t="s">
        <v>259</v>
      </c>
      <c r="CA71" s="362">
        <v>2.6</v>
      </c>
      <c r="CB71" s="362">
        <v>7.1</v>
      </c>
      <c r="CC71" s="362">
        <v>208</v>
      </c>
      <c r="CD71" s="362">
        <v>2.3E-2</v>
      </c>
      <c r="CE71" s="362">
        <v>0.95</v>
      </c>
      <c r="CF71" s="362">
        <v>4.0999999999999996</v>
      </c>
      <c r="CG71" s="362">
        <v>12</v>
      </c>
      <c r="CH71" s="362">
        <v>1100</v>
      </c>
      <c r="CI71" s="362">
        <v>400</v>
      </c>
      <c r="CJ71" s="362" t="s">
        <v>254</v>
      </c>
      <c r="CK71" s="362">
        <v>140</v>
      </c>
      <c r="CL71" s="362">
        <v>470</v>
      </c>
      <c r="CM71" s="362" t="s">
        <v>288</v>
      </c>
      <c r="CN71" s="362" t="s">
        <v>288</v>
      </c>
      <c r="CO71" s="362">
        <v>73</v>
      </c>
      <c r="CP71" s="362">
        <v>7.6</v>
      </c>
      <c r="CQ71" s="362" t="s">
        <v>254</v>
      </c>
      <c r="CR71" s="362" t="s">
        <v>254</v>
      </c>
      <c r="CS71" s="362">
        <v>14</v>
      </c>
      <c r="CT71" s="362">
        <v>24</v>
      </c>
      <c r="CU71" s="362">
        <v>0.77</v>
      </c>
      <c r="CV71" s="362">
        <v>510</v>
      </c>
      <c r="CW71" s="362">
        <v>4.4000000000000004</v>
      </c>
      <c r="CX71" s="362">
        <v>2.1</v>
      </c>
      <c r="CY71" s="362">
        <v>0.24</v>
      </c>
      <c r="CZ71" s="362">
        <v>7.68</v>
      </c>
      <c r="DA71" s="362">
        <v>1.6</v>
      </c>
      <c r="DB71" s="362">
        <v>4400</v>
      </c>
      <c r="DC71" s="362">
        <v>1500</v>
      </c>
      <c r="DD71" s="362">
        <v>22.7</v>
      </c>
      <c r="DE71" s="362">
        <v>3000</v>
      </c>
      <c r="DF71" s="362" t="s">
        <v>289</v>
      </c>
      <c r="DG71" s="362">
        <v>8.4</v>
      </c>
      <c r="DH71" s="362">
        <v>6.4</v>
      </c>
      <c r="DI71" s="362">
        <v>4700</v>
      </c>
      <c r="DJ71" s="362">
        <v>2200</v>
      </c>
      <c r="DK71" s="362">
        <v>2900</v>
      </c>
      <c r="DL71" s="362" t="s">
        <v>360</v>
      </c>
      <c r="DM71" s="362">
        <v>8.83</v>
      </c>
      <c r="DN71" s="362">
        <v>7.85</v>
      </c>
      <c r="DO71" s="362">
        <v>6076</v>
      </c>
      <c r="DP71" s="362">
        <v>19.899999999999999</v>
      </c>
      <c r="DQ71" s="362">
        <v>5.74</v>
      </c>
    </row>
    <row r="72" spans="1:121" hidden="1" x14ac:dyDescent="0.25">
      <c r="A72" s="362" t="s">
        <v>161</v>
      </c>
      <c r="B72" s="56" t="str">
        <f>VLOOKUP(Table3[[#This Row],[Station]], StationName, 2, FALSE)</f>
        <v>M02-052-2</v>
      </c>
      <c r="C72" s="362">
        <v>1744010</v>
      </c>
      <c r="D72" s="221">
        <v>44349.416666666664</v>
      </c>
      <c r="E72" s="362" t="s">
        <v>293</v>
      </c>
      <c r="F72" s="362" t="s">
        <v>294</v>
      </c>
      <c r="G72" s="362" t="s">
        <v>294</v>
      </c>
      <c r="H72" s="362" t="s">
        <v>294</v>
      </c>
      <c r="I72" s="362" t="s">
        <v>294</v>
      </c>
      <c r="J72" s="362" t="s">
        <v>294</v>
      </c>
      <c r="K72" s="362" t="s">
        <v>294</v>
      </c>
      <c r="L72" s="362" t="s">
        <v>294</v>
      </c>
      <c r="M72" s="362" t="s">
        <v>294</v>
      </c>
      <c r="N72" s="362" t="s">
        <v>294</v>
      </c>
      <c r="O72" s="362" t="s">
        <v>294</v>
      </c>
      <c r="P72" s="362" t="s">
        <v>294</v>
      </c>
      <c r="Q72" s="362" t="s">
        <v>294</v>
      </c>
      <c r="R72" s="362" t="s">
        <v>294</v>
      </c>
      <c r="S72" s="362" t="s">
        <v>294</v>
      </c>
      <c r="T72" s="362" t="s">
        <v>294</v>
      </c>
      <c r="U72" s="362" t="s">
        <v>294</v>
      </c>
      <c r="V72" s="362" t="s">
        <v>294</v>
      </c>
      <c r="W72" s="362" t="s">
        <v>294</v>
      </c>
      <c r="X72" s="362" t="s">
        <v>294</v>
      </c>
      <c r="Y72" s="362" t="s">
        <v>294</v>
      </c>
      <c r="Z72" s="362" t="s">
        <v>294</v>
      </c>
      <c r="AA72" s="362" t="s">
        <v>294</v>
      </c>
      <c r="AB72" s="362" t="s">
        <v>294</v>
      </c>
      <c r="AC72" s="362" t="s">
        <v>294</v>
      </c>
      <c r="AD72" s="362" t="s">
        <v>294</v>
      </c>
      <c r="AE72" s="362" t="s">
        <v>294</v>
      </c>
      <c r="AF72" s="362" t="s">
        <v>294</v>
      </c>
      <c r="AG72" s="362" t="s">
        <v>294</v>
      </c>
      <c r="AH72" s="362" t="s">
        <v>294</v>
      </c>
      <c r="AI72" s="362" t="s">
        <v>294</v>
      </c>
      <c r="AJ72" s="362" t="s">
        <v>294</v>
      </c>
      <c r="AK72" s="362" t="s">
        <v>294</v>
      </c>
      <c r="AL72" s="362" t="s">
        <v>294</v>
      </c>
      <c r="AM72" s="362" t="s">
        <v>294</v>
      </c>
      <c r="AN72" s="362" t="s">
        <v>294</v>
      </c>
      <c r="AO72" s="362" t="s">
        <v>294</v>
      </c>
      <c r="AP72" s="362" t="s">
        <v>294</v>
      </c>
      <c r="AQ72" s="362" t="s">
        <v>294</v>
      </c>
      <c r="AR72" s="362" t="s">
        <v>294</v>
      </c>
      <c r="AS72" s="362" t="s">
        <v>294</v>
      </c>
      <c r="AT72" s="362" t="s">
        <v>294</v>
      </c>
      <c r="AU72" s="362" t="s">
        <v>294</v>
      </c>
      <c r="AV72" s="362" t="s">
        <v>294</v>
      </c>
      <c r="AW72" s="362" t="s">
        <v>294</v>
      </c>
      <c r="AX72" s="362" t="s">
        <v>294</v>
      </c>
      <c r="AY72" s="362" t="s">
        <v>294</v>
      </c>
      <c r="AZ72" s="362" t="s">
        <v>294</v>
      </c>
      <c r="BA72" s="362" t="s">
        <v>294</v>
      </c>
      <c r="BB72" s="362" t="s">
        <v>294</v>
      </c>
      <c r="BC72" s="362" t="s">
        <v>294</v>
      </c>
      <c r="BD72" s="362" t="s">
        <v>294</v>
      </c>
      <c r="BE72" s="362" t="s">
        <v>294</v>
      </c>
      <c r="BF72" s="362" t="s">
        <v>294</v>
      </c>
      <c r="BG72" s="362" t="s">
        <v>294</v>
      </c>
      <c r="BH72" s="362" t="s">
        <v>294</v>
      </c>
      <c r="BI72" s="362" t="s">
        <v>294</v>
      </c>
      <c r="BJ72" s="362" t="s">
        <v>294</v>
      </c>
      <c r="BK72" s="362" t="s">
        <v>294</v>
      </c>
      <c r="BL72" s="362" t="s">
        <v>294</v>
      </c>
      <c r="BM72" s="362" t="s">
        <v>294</v>
      </c>
      <c r="BN72" s="362" t="s">
        <v>294</v>
      </c>
      <c r="BO72" s="362" t="s">
        <v>294</v>
      </c>
      <c r="BP72" s="362" t="s">
        <v>294</v>
      </c>
      <c r="BQ72" s="362" t="s">
        <v>294</v>
      </c>
      <c r="BR72" s="362" t="s">
        <v>294</v>
      </c>
      <c r="BS72" s="362" t="s">
        <v>294</v>
      </c>
      <c r="BT72" s="362" t="s">
        <v>294</v>
      </c>
      <c r="BU72" s="362" t="s">
        <v>294</v>
      </c>
      <c r="BV72" s="362" t="s">
        <v>294</v>
      </c>
      <c r="BW72" s="362" t="s">
        <v>294</v>
      </c>
      <c r="BX72" s="362" t="s">
        <v>294</v>
      </c>
      <c r="BY72" s="362" t="s">
        <v>294</v>
      </c>
      <c r="BZ72" s="362" t="s">
        <v>294</v>
      </c>
      <c r="CA72" s="362">
        <v>2.6</v>
      </c>
      <c r="CB72" s="362">
        <v>4.0999999999999996</v>
      </c>
      <c r="CC72" s="362" t="s">
        <v>294</v>
      </c>
      <c r="CD72" s="362">
        <v>2.5000000000000001E-2</v>
      </c>
      <c r="CE72" s="362">
        <v>0.38</v>
      </c>
      <c r="CF72" s="362">
        <v>3.3</v>
      </c>
      <c r="CG72" s="362" t="s">
        <v>294</v>
      </c>
      <c r="CH72" s="362" t="s">
        <v>294</v>
      </c>
      <c r="CI72" s="362">
        <v>25</v>
      </c>
      <c r="CJ72" s="362" t="s">
        <v>254</v>
      </c>
      <c r="CK72" s="362" t="s">
        <v>294</v>
      </c>
      <c r="CL72" s="362">
        <v>450</v>
      </c>
      <c r="CM72" s="362" t="s">
        <v>294</v>
      </c>
      <c r="CN72" s="362" t="s">
        <v>288</v>
      </c>
      <c r="CO72" s="362">
        <v>72</v>
      </c>
      <c r="CP72" s="362">
        <v>7.5</v>
      </c>
      <c r="CQ72" s="362" t="s">
        <v>254</v>
      </c>
      <c r="CR72" s="362" t="s">
        <v>254</v>
      </c>
      <c r="CS72" s="362" t="s">
        <v>294</v>
      </c>
      <c r="CT72" s="362">
        <v>20</v>
      </c>
      <c r="CU72" s="362" t="s">
        <v>294</v>
      </c>
      <c r="CV72" s="362" t="s">
        <v>294</v>
      </c>
      <c r="CW72" s="362" t="s">
        <v>294</v>
      </c>
      <c r="CX72" s="362" t="s">
        <v>294</v>
      </c>
      <c r="CY72" s="362" t="s">
        <v>294</v>
      </c>
      <c r="CZ72" s="362" t="s">
        <v>294</v>
      </c>
      <c r="DA72" s="362" t="s">
        <v>294</v>
      </c>
      <c r="DB72" s="362" t="s">
        <v>294</v>
      </c>
      <c r="DC72" s="362" t="s">
        <v>294</v>
      </c>
      <c r="DD72" s="362" t="s">
        <v>294</v>
      </c>
      <c r="DE72" s="362" t="s">
        <v>294</v>
      </c>
      <c r="DF72" s="362" t="s">
        <v>294</v>
      </c>
      <c r="DG72" s="362" t="s">
        <v>294</v>
      </c>
      <c r="DH72" s="362" t="s">
        <v>294</v>
      </c>
      <c r="DI72" s="362" t="s">
        <v>294</v>
      </c>
      <c r="DJ72" s="362" t="s">
        <v>294</v>
      </c>
      <c r="DK72" s="362" t="s">
        <v>294</v>
      </c>
      <c r="DL72" s="362" t="s">
        <v>294</v>
      </c>
      <c r="DM72" s="362" t="s">
        <v>294</v>
      </c>
      <c r="DN72" s="362" t="s">
        <v>294</v>
      </c>
      <c r="DO72" s="362" t="s">
        <v>294</v>
      </c>
      <c r="DP72" s="362" t="s">
        <v>294</v>
      </c>
      <c r="DQ72" s="362" t="s">
        <v>294</v>
      </c>
    </row>
    <row r="73" spans="1:121" x14ac:dyDescent="0.25">
      <c r="A73" s="362" t="s">
        <v>361</v>
      </c>
      <c r="B73" s="56" t="str">
        <f>VLOOKUP(Table3[[#This Row],[Station]], StationName, 2, FALSE)</f>
        <v>L01-728-5 (L01-DP)</v>
      </c>
      <c r="C73" s="362">
        <v>1743002</v>
      </c>
      <c r="D73" s="221">
        <v>44349.43472222222</v>
      </c>
      <c r="E73" s="362" t="s">
        <v>283</v>
      </c>
      <c r="F73" s="362">
        <v>78</v>
      </c>
      <c r="G73" s="362">
        <v>96</v>
      </c>
      <c r="H73" s="362">
        <v>99</v>
      </c>
      <c r="I73" s="362">
        <v>96</v>
      </c>
      <c r="J73" s="362">
        <v>65</v>
      </c>
      <c r="K73" s="362">
        <v>86</v>
      </c>
      <c r="L73" s="362">
        <v>93</v>
      </c>
      <c r="M73" s="362">
        <v>94</v>
      </c>
      <c r="N73" s="362">
        <v>74</v>
      </c>
      <c r="O73" s="362" t="s">
        <v>259</v>
      </c>
      <c r="P73" s="362" t="s">
        <v>259</v>
      </c>
      <c r="Q73" s="362" t="s">
        <v>259</v>
      </c>
      <c r="R73" s="362" t="s">
        <v>259</v>
      </c>
      <c r="S73" s="362" t="s">
        <v>259</v>
      </c>
      <c r="T73" s="362" t="s">
        <v>259</v>
      </c>
      <c r="U73" s="362" t="s">
        <v>256</v>
      </c>
      <c r="V73" s="362" t="s">
        <v>256</v>
      </c>
      <c r="W73" s="362" t="s">
        <v>256</v>
      </c>
      <c r="X73" s="362" t="s">
        <v>256</v>
      </c>
      <c r="Y73" s="362" t="s">
        <v>284</v>
      </c>
      <c r="Z73" s="362" t="s">
        <v>256</v>
      </c>
      <c r="AA73" s="362" t="s">
        <v>256</v>
      </c>
      <c r="AB73" s="362" t="s">
        <v>256</v>
      </c>
      <c r="AC73" s="362" t="s">
        <v>256</v>
      </c>
      <c r="AD73" s="362" t="s">
        <v>256</v>
      </c>
      <c r="AE73" s="362" t="s">
        <v>256</v>
      </c>
      <c r="AF73" s="362" t="s">
        <v>256</v>
      </c>
      <c r="AG73" s="362" t="s">
        <v>256</v>
      </c>
      <c r="AH73" s="362" t="s">
        <v>256</v>
      </c>
      <c r="AI73" s="362" t="s">
        <v>256</v>
      </c>
      <c r="AJ73" s="362" t="s">
        <v>248</v>
      </c>
      <c r="AK73" s="362" t="s">
        <v>259</v>
      </c>
      <c r="AL73" s="362" t="s">
        <v>259</v>
      </c>
      <c r="AM73" s="362" t="s">
        <v>251</v>
      </c>
      <c r="AN73" s="362" t="s">
        <v>256</v>
      </c>
      <c r="AO73" s="362" t="s">
        <v>259</v>
      </c>
      <c r="AP73" s="362" t="s">
        <v>251</v>
      </c>
      <c r="AQ73" s="362" t="s">
        <v>256</v>
      </c>
      <c r="AR73" s="362" t="s">
        <v>256</v>
      </c>
      <c r="AS73" s="362" t="s">
        <v>285</v>
      </c>
      <c r="AT73" s="362" t="s">
        <v>259</v>
      </c>
      <c r="AU73" s="362" t="s">
        <v>284</v>
      </c>
      <c r="AV73" s="362" t="s">
        <v>259</v>
      </c>
      <c r="AW73" s="362" t="s">
        <v>256</v>
      </c>
      <c r="AX73" s="362" t="s">
        <v>256</v>
      </c>
      <c r="AY73" s="362" t="s">
        <v>256</v>
      </c>
      <c r="AZ73" s="362" t="s">
        <v>256</v>
      </c>
      <c r="BA73" s="362" t="s">
        <v>256</v>
      </c>
      <c r="BB73" s="362" t="s">
        <v>259</v>
      </c>
      <c r="BC73" s="362" t="s">
        <v>286</v>
      </c>
      <c r="BD73" s="362" t="s">
        <v>248</v>
      </c>
      <c r="BE73" s="362" t="s">
        <v>259</v>
      </c>
      <c r="BF73" s="362" t="s">
        <v>248</v>
      </c>
      <c r="BG73" s="362" t="s">
        <v>256</v>
      </c>
      <c r="BH73" s="362" t="s">
        <v>256</v>
      </c>
      <c r="BI73" s="362" t="s">
        <v>256</v>
      </c>
      <c r="BJ73" s="362" t="s">
        <v>256</v>
      </c>
      <c r="BK73" s="362" t="s">
        <v>256</v>
      </c>
      <c r="BL73" s="362" t="s">
        <v>256</v>
      </c>
      <c r="BM73" s="362" t="s">
        <v>259</v>
      </c>
      <c r="BN73" s="362" t="s">
        <v>256</v>
      </c>
      <c r="BO73" s="362" t="s">
        <v>259</v>
      </c>
      <c r="BP73" s="362" t="s">
        <v>284</v>
      </c>
      <c r="BQ73" s="362" t="s">
        <v>256</v>
      </c>
      <c r="BR73" s="362" t="s">
        <v>256</v>
      </c>
      <c r="BS73" s="362" t="s">
        <v>256</v>
      </c>
      <c r="BT73" s="362" t="s">
        <v>284</v>
      </c>
      <c r="BU73" s="362">
        <v>2.36</v>
      </c>
      <c r="BV73" s="362" t="s">
        <v>248</v>
      </c>
      <c r="BW73" s="362" t="s">
        <v>285</v>
      </c>
      <c r="BX73" s="362" t="s">
        <v>287</v>
      </c>
      <c r="BY73" s="362" t="s">
        <v>259</v>
      </c>
      <c r="BZ73" s="362" t="s">
        <v>259</v>
      </c>
      <c r="CA73" s="362">
        <v>1.3</v>
      </c>
      <c r="CB73" s="362">
        <v>0.27</v>
      </c>
      <c r="CC73" s="362">
        <v>90.4</v>
      </c>
      <c r="CD73" s="362">
        <v>0.17</v>
      </c>
      <c r="CE73" s="362">
        <v>0.42</v>
      </c>
      <c r="CF73" s="362">
        <v>7.8</v>
      </c>
      <c r="CG73" s="362">
        <v>5.8</v>
      </c>
      <c r="CH73" s="362">
        <v>339</v>
      </c>
      <c r="CI73" s="362">
        <v>54</v>
      </c>
      <c r="CJ73" s="362" t="s">
        <v>254</v>
      </c>
      <c r="CK73" s="362">
        <v>27.6</v>
      </c>
      <c r="CL73" s="362">
        <v>1.9</v>
      </c>
      <c r="CM73" s="362" t="s">
        <v>288</v>
      </c>
      <c r="CN73" s="362" t="s">
        <v>288</v>
      </c>
      <c r="CO73" s="362">
        <v>4.2</v>
      </c>
      <c r="CP73" s="362" t="s">
        <v>258</v>
      </c>
      <c r="CQ73" s="362" t="s">
        <v>254</v>
      </c>
      <c r="CR73" s="362" t="s">
        <v>254</v>
      </c>
      <c r="CS73" s="362">
        <v>6.1</v>
      </c>
      <c r="CT73" s="362">
        <v>12</v>
      </c>
      <c r="CU73" s="362" t="s">
        <v>153</v>
      </c>
      <c r="CV73" s="362">
        <v>160</v>
      </c>
      <c r="CW73" s="362">
        <v>0.72</v>
      </c>
      <c r="CX73" s="362">
        <v>0.61</v>
      </c>
      <c r="CY73" s="362">
        <v>0.17</v>
      </c>
      <c r="CZ73" s="362">
        <v>8.16</v>
      </c>
      <c r="DA73" s="362">
        <v>1.1000000000000001</v>
      </c>
      <c r="DB73" s="362">
        <v>1200</v>
      </c>
      <c r="DC73" s="362">
        <v>230</v>
      </c>
      <c r="DD73" s="362">
        <v>22.7</v>
      </c>
      <c r="DE73" s="362">
        <v>640</v>
      </c>
      <c r="DF73" s="362" t="s">
        <v>309</v>
      </c>
      <c r="DG73" s="362" t="s">
        <v>331</v>
      </c>
      <c r="DH73" s="362">
        <v>0.82</v>
      </c>
      <c r="DI73" s="362">
        <v>600</v>
      </c>
      <c r="DJ73" s="362">
        <v>200</v>
      </c>
      <c r="DK73" s="362">
        <v>230</v>
      </c>
      <c r="DL73" s="362" t="s">
        <v>362</v>
      </c>
      <c r="DM73" s="362">
        <v>10.63</v>
      </c>
      <c r="DN73" s="362">
        <v>8.5299999999999994</v>
      </c>
      <c r="DO73" s="362">
        <v>1265</v>
      </c>
      <c r="DP73" s="362">
        <v>19.98</v>
      </c>
      <c r="DQ73" s="362">
        <v>1.0900000000000001</v>
      </c>
    </row>
    <row r="74" spans="1:121" hidden="1" x14ac:dyDescent="0.25">
      <c r="A74" s="362" t="s">
        <v>361</v>
      </c>
      <c r="B74" s="56" t="str">
        <f>VLOOKUP(Table3[[#This Row],[Station]], StationName, 2, FALSE)</f>
        <v>L01-728-5 (L01-DP)</v>
      </c>
      <c r="C74" s="362">
        <v>1743004</v>
      </c>
      <c r="D74" s="221">
        <v>44349.43472222222</v>
      </c>
      <c r="E74" s="362" t="s">
        <v>293</v>
      </c>
      <c r="F74" s="362" t="s">
        <v>294</v>
      </c>
      <c r="G74" s="362" t="s">
        <v>294</v>
      </c>
      <c r="H74" s="362" t="s">
        <v>294</v>
      </c>
      <c r="I74" s="362" t="s">
        <v>294</v>
      </c>
      <c r="J74" s="362" t="s">
        <v>294</v>
      </c>
      <c r="K74" s="362" t="s">
        <v>294</v>
      </c>
      <c r="L74" s="362" t="s">
        <v>294</v>
      </c>
      <c r="M74" s="362" t="s">
        <v>294</v>
      </c>
      <c r="N74" s="362" t="s">
        <v>294</v>
      </c>
      <c r="O74" s="362" t="s">
        <v>294</v>
      </c>
      <c r="P74" s="362" t="s">
        <v>294</v>
      </c>
      <c r="Q74" s="362" t="s">
        <v>294</v>
      </c>
      <c r="R74" s="362" t="s">
        <v>294</v>
      </c>
      <c r="S74" s="362" t="s">
        <v>294</v>
      </c>
      <c r="T74" s="362" t="s">
        <v>294</v>
      </c>
      <c r="U74" s="362" t="s">
        <v>294</v>
      </c>
      <c r="V74" s="362" t="s">
        <v>294</v>
      </c>
      <c r="W74" s="362" t="s">
        <v>294</v>
      </c>
      <c r="X74" s="362" t="s">
        <v>294</v>
      </c>
      <c r="Y74" s="362" t="s">
        <v>294</v>
      </c>
      <c r="Z74" s="362" t="s">
        <v>294</v>
      </c>
      <c r="AA74" s="362" t="s">
        <v>294</v>
      </c>
      <c r="AB74" s="362" t="s">
        <v>294</v>
      </c>
      <c r="AC74" s="362" t="s">
        <v>294</v>
      </c>
      <c r="AD74" s="362" t="s">
        <v>294</v>
      </c>
      <c r="AE74" s="362" t="s">
        <v>294</v>
      </c>
      <c r="AF74" s="362" t="s">
        <v>294</v>
      </c>
      <c r="AG74" s="362" t="s">
        <v>294</v>
      </c>
      <c r="AH74" s="362" t="s">
        <v>294</v>
      </c>
      <c r="AI74" s="362" t="s">
        <v>294</v>
      </c>
      <c r="AJ74" s="362" t="s">
        <v>294</v>
      </c>
      <c r="AK74" s="362" t="s">
        <v>294</v>
      </c>
      <c r="AL74" s="362" t="s">
        <v>294</v>
      </c>
      <c r="AM74" s="362" t="s">
        <v>294</v>
      </c>
      <c r="AN74" s="362" t="s">
        <v>294</v>
      </c>
      <c r="AO74" s="362" t="s">
        <v>294</v>
      </c>
      <c r="AP74" s="362" t="s">
        <v>294</v>
      </c>
      <c r="AQ74" s="362" t="s">
        <v>294</v>
      </c>
      <c r="AR74" s="362" t="s">
        <v>294</v>
      </c>
      <c r="AS74" s="362" t="s">
        <v>294</v>
      </c>
      <c r="AT74" s="362" t="s">
        <v>294</v>
      </c>
      <c r="AU74" s="362" t="s">
        <v>294</v>
      </c>
      <c r="AV74" s="362" t="s">
        <v>294</v>
      </c>
      <c r="AW74" s="362" t="s">
        <v>294</v>
      </c>
      <c r="AX74" s="362" t="s">
        <v>294</v>
      </c>
      <c r="AY74" s="362" t="s">
        <v>294</v>
      </c>
      <c r="AZ74" s="362" t="s">
        <v>294</v>
      </c>
      <c r="BA74" s="362" t="s">
        <v>294</v>
      </c>
      <c r="BB74" s="362" t="s">
        <v>294</v>
      </c>
      <c r="BC74" s="362" t="s">
        <v>294</v>
      </c>
      <c r="BD74" s="362" t="s">
        <v>294</v>
      </c>
      <c r="BE74" s="362" t="s">
        <v>294</v>
      </c>
      <c r="BF74" s="362" t="s">
        <v>294</v>
      </c>
      <c r="BG74" s="362" t="s">
        <v>294</v>
      </c>
      <c r="BH74" s="362" t="s">
        <v>294</v>
      </c>
      <c r="BI74" s="362" t="s">
        <v>294</v>
      </c>
      <c r="BJ74" s="362" t="s">
        <v>294</v>
      </c>
      <c r="BK74" s="362" t="s">
        <v>294</v>
      </c>
      <c r="BL74" s="362" t="s">
        <v>294</v>
      </c>
      <c r="BM74" s="362" t="s">
        <v>294</v>
      </c>
      <c r="BN74" s="362" t="s">
        <v>294</v>
      </c>
      <c r="BO74" s="362" t="s">
        <v>294</v>
      </c>
      <c r="BP74" s="362" t="s">
        <v>294</v>
      </c>
      <c r="BQ74" s="362" t="s">
        <v>294</v>
      </c>
      <c r="BR74" s="362" t="s">
        <v>294</v>
      </c>
      <c r="BS74" s="362" t="s">
        <v>294</v>
      </c>
      <c r="BT74" s="362" t="s">
        <v>294</v>
      </c>
      <c r="BU74" s="362" t="s">
        <v>294</v>
      </c>
      <c r="BV74" s="362" t="s">
        <v>294</v>
      </c>
      <c r="BW74" s="362" t="s">
        <v>294</v>
      </c>
      <c r="BX74" s="362" t="s">
        <v>294</v>
      </c>
      <c r="BY74" s="362" t="s">
        <v>294</v>
      </c>
      <c r="BZ74" s="362" t="s">
        <v>294</v>
      </c>
      <c r="CA74" s="362">
        <v>1.3</v>
      </c>
      <c r="CB74" s="362">
        <v>0.21</v>
      </c>
      <c r="CC74" s="362" t="s">
        <v>294</v>
      </c>
      <c r="CD74" s="362">
        <v>0.16</v>
      </c>
      <c r="CE74" s="362">
        <v>0.35</v>
      </c>
      <c r="CF74" s="362">
        <v>6.6</v>
      </c>
      <c r="CG74" s="362" t="s">
        <v>294</v>
      </c>
      <c r="CH74" s="362" t="s">
        <v>294</v>
      </c>
      <c r="CI74" s="362">
        <v>27</v>
      </c>
      <c r="CJ74" s="362" t="s">
        <v>254</v>
      </c>
      <c r="CK74" s="362" t="s">
        <v>294</v>
      </c>
      <c r="CL74" s="362">
        <v>1.4</v>
      </c>
      <c r="CM74" s="362" t="s">
        <v>294</v>
      </c>
      <c r="CN74" s="362" t="s">
        <v>288</v>
      </c>
      <c r="CO74" s="362">
        <v>4.2</v>
      </c>
      <c r="CP74" s="362" t="s">
        <v>258</v>
      </c>
      <c r="CQ74" s="362" t="s">
        <v>254</v>
      </c>
      <c r="CR74" s="362" t="s">
        <v>254</v>
      </c>
      <c r="CS74" s="362" t="s">
        <v>294</v>
      </c>
      <c r="CT74" s="362" t="s">
        <v>284</v>
      </c>
      <c r="CU74" s="362" t="s">
        <v>294</v>
      </c>
      <c r="CV74" s="362" t="s">
        <v>294</v>
      </c>
      <c r="CW74" s="362" t="s">
        <v>294</v>
      </c>
      <c r="CX74" s="362" t="s">
        <v>294</v>
      </c>
      <c r="CY74" s="362" t="s">
        <v>294</v>
      </c>
      <c r="CZ74" s="362" t="s">
        <v>294</v>
      </c>
      <c r="DA74" s="362" t="s">
        <v>294</v>
      </c>
      <c r="DB74" s="362" t="s">
        <v>294</v>
      </c>
      <c r="DC74" s="362" t="s">
        <v>294</v>
      </c>
      <c r="DD74" s="362" t="s">
        <v>294</v>
      </c>
      <c r="DE74" s="362" t="s">
        <v>294</v>
      </c>
      <c r="DF74" s="362" t="s">
        <v>294</v>
      </c>
      <c r="DG74" s="362" t="s">
        <v>294</v>
      </c>
      <c r="DH74" s="362" t="s">
        <v>294</v>
      </c>
      <c r="DI74" s="362" t="s">
        <v>294</v>
      </c>
      <c r="DJ74" s="362" t="s">
        <v>294</v>
      </c>
      <c r="DK74" s="362" t="s">
        <v>294</v>
      </c>
      <c r="DL74" s="362" t="s">
        <v>294</v>
      </c>
      <c r="DM74" s="362" t="s">
        <v>294</v>
      </c>
      <c r="DN74" s="362" t="s">
        <v>294</v>
      </c>
      <c r="DO74" s="362" t="s">
        <v>294</v>
      </c>
      <c r="DP74" s="362" t="s">
        <v>294</v>
      </c>
      <c r="DQ74" s="362" t="s">
        <v>294</v>
      </c>
    </row>
    <row r="75" spans="1:121" x14ac:dyDescent="0.25">
      <c r="A75" s="362" t="s">
        <v>162</v>
      </c>
      <c r="B75" s="56" t="str">
        <f>VLOOKUP(Table3[[#This Row],[Station]], StationName, 2, FALSE)</f>
        <v>M02-015-1</v>
      </c>
      <c r="C75" s="362">
        <v>1744001</v>
      </c>
      <c r="D75" s="221">
        <v>44349.446527777778</v>
      </c>
      <c r="E75" s="362" t="s">
        <v>283</v>
      </c>
      <c r="F75" s="362">
        <v>59</v>
      </c>
      <c r="G75" s="362">
        <v>73</v>
      </c>
      <c r="H75" s="362">
        <v>80</v>
      </c>
      <c r="I75" s="362">
        <v>75</v>
      </c>
      <c r="J75" s="362">
        <v>47</v>
      </c>
      <c r="K75" s="362">
        <v>65</v>
      </c>
      <c r="L75" s="362">
        <v>73</v>
      </c>
      <c r="M75" s="362">
        <v>64</v>
      </c>
      <c r="N75" s="362">
        <v>60</v>
      </c>
      <c r="O75" s="362" t="s">
        <v>259</v>
      </c>
      <c r="P75" s="362" t="s">
        <v>259</v>
      </c>
      <c r="Q75" s="362" t="s">
        <v>259</v>
      </c>
      <c r="R75" s="362" t="s">
        <v>259</v>
      </c>
      <c r="S75" s="362" t="s">
        <v>259</v>
      </c>
      <c r="T75" s="362" t="s">
        <v>259</v>
      </c>
      <c r="U75" s="362" t="s">
        <v>256</v>
      </c>
      <c r="V75" s="362" t="s">
        <v>256</v>
      </c>
      <c r="W75" s="362" t="s">
        <v>256</v>
      </c>
      <c r="X75" s="362" t="s">
        <v>256</v>
      </c>
      <c r="Y75" s="362" t="s">
        <v>284</v>
      </c>
      <c r="Z75" s="362" t="s">
        <v>256</v>
      </c>
      <c r="AA75" s="362" t="s">
        <v>256</v>
      </c>
      <c r="AB75" s="362" t="s">
        <v>256</v>
      </c>
      <c r="AC75" s="362" t="s">
        <v>256</v>
      </c>
      <c r="AD75" s="362" t="s">
        <v>256</v>
      </c>
      <c r="AE75" s="362" t="s">
        <v>256</v>
      </c>
      <c r="AF75" s="362" t="s">
        <v>256</v>
      </c>
      <c r="AG75" s="362" t="s">
        <v>256</v>
      </c>
      <c r="AH75" s="362" t="s">
        <v>256</v>
      </c>
      <c r="AI75" s="362" t="s">
        <v>256</v>
      </c>
      <c r="AJ75" s="362" t="s">
        <v>248</v>
      </c>
      <c r="AK75" s="362" t="s">
        <v>259</v>
      </c>
      <c r="AL75" s="362" t="s">
        <v>259</v>
      </c>
      <c r="AM75" s="362" t="s">
        <v>251</v>
      </c>
      <c r="AN75" s="362" t="s">
        <v>256</v>
      </c>
      <c r="AO75" s="362" t="s">
        <v>259</v>
      </c>
      <c r="AP75" s="362" t="s">
        <v>251</v>
      </c>
      <c r="AQ75" s="362" t="s">
        <v>256</v>
      </c>
      <c r="AR75" s="362" t="s">
        <v>256</v>
      </c>
      <c r="AS75" s="362" t="s">
        <v>285</v>
      </c>
      <c r="AT75" s="362" t="s">
        <v>259</v>
      </c>
      <c r="AU75" s="362" t="s">
        <v>284</v>
      </c>
      <c r="AV75" s="362" t="s">
        <v>259</v>
      </c>
      <c r="AW75" s="362" t="s">
        <v>256</v>
      </c>
      <c r="AX75" s="362" t="s">
        <v>256</v>
      </c>
      <c r="AY75" s="362" t="s">
        <v>256</v>
      </c>
      <c r="AZ75" s="362" t="s">
        <v>256</v>
      </c>
      <c r="BA75" s="362" t="s">
        <v>256</v>
      </c>
      <c r="BB75" s="362" t="s">
        <v>259</v>
      </c>
      <c r="BC75" s="362" t="s">
        <v>286</v>
      </c>
      <c r="BD75" s="362" t="s">
        <v>248</v>
      </c>
      <c r="BE75" s="362" t="s">
        <v>259</v>
      </c>
      <c r="BF75" s="362" t="s">
        <v>248</v>
      </c>
      <c r="BG75" s="362" t="s">
        <v>256</v>
      </c>
      <c r="BH75" s="362" t="s">
        <v>256</v>
      </c>
      <c r="BI75" s="362" t="s">
        <v>256</v>
      </c>
      <c r="BJ75" s="362" t="s">
        <v>256</v>
      </c>
      <c r="BK75" s="362" t="s">
        <v>256</v>
      </c>
      <c r="BL75" s="362" t="s">
        <v>256</v>
      </c>
      <c r="BM75" s="362" t="s">
        <v>259</v>
      </c>
      <c r="BN75" s="362" t="s">
        <v>256</v>
      </c>
      <c r="BO75" s="362" t="s">
        <v>259</v>
      </c>
      <c r="BP75" s="362" t="s">
        <v>284</v>
      </c>
      <c r="BQ75" s="362" t="s">
        <v>256</v>
      </c>
      <c r="BR75" s="362" t="s">
        <v>256</v>
      </c>
      <c r="BS75" s="362" t="s">
        <v>256</v>
      </c>
      <c r="BT75" s="362" t="s">
        <v>284</v>
      </c>
      <c r="BU75" s="362">
        <v>1.06</v>
      </c>
      <c r="BV75" s="362" t="s">
        <v>248</v>
      </c>
      <c r="BW75" s="362" t="s">
        <v>285</v>
      </c>
      <c r="BX75" s="362" t="s">
        <v>287</v>
      </c>
      <c r="BY75" s="362" t="s">
        <v>259</v>
      </c>
      <c r="BZ75" s="362" t="s">
        <v>259</v>
      </c>
      <c r="CA75" s="362">
        <v>2.2000000000000002</v>
      </c>
      <c r="CB75" s="362" t="s">
        <v>254</v>
      </c>
      <c r="CC75" s="362">
        <v>127</v>
      </c>
      <c r="CD75" s="362">
        <v>8.4000000000000005E-2</v>
      </c>
      <c r="CE75" s="362">
        <v>0.35</v>
      </c>
      <c r="CF75" s="362">
        <v>11</v>
      </c>
      <c r="CG75" s="362">
        <v>13</v>
      </c>
      <c r="CH75" s="362">
        <v>460</v>
      </c>
      <c r="CI75" s="362">
        <v>470</v>
      </c>
      <c r="CJ75" s="362" t="s">
        <v>254</v>
      </c>
      <c r="CK75" s="362">
        <v>35.1</v>
      </c>
      <c r="CL75" s="362">
        <v>9.6</v>
      </c>
      <c r="CM75" s="362">
        <v>5.8000000000000003E-2</v>
      </c>
      <c r="CN75" s="362" t="s">
        <v>288</v>
      </c>
      <c r="CO75" s="362">
        <v>2.2999999999999998</v>
      </c>
      <c r="CP75" s="362">
        <v>1.1000000000000001</v>
      </c>
      <c r="CQ75" s="362" t="s">
        <v>254</v>
      </c>
      <c r="CR75" s="362" t="s">
        <v>254</v>
      </c>
      <c r="CS75" s="362">
        <v>15</v>
      </c>
      <c r="CT75" s="362">
        <v>11</v>
      </c>
      <c r="CU75" s="362" t="s">
        <v>153</v>
      </c>
      <c r="CV75" s="362">
        <v>180</v>
      </c>
      <c r="CW75" s="362">
        <v>3.7</v>
      </c>
      <c r="CX75" s="362">
        <v>1.5</v>
      </c>
      <c r="CY75" s="362">
        <v>0.33</v>
      </c>
      <c r="CZ75" s="362">
        <v>7.91</v>
      </c>
      <c r="DA75" s="362">
        <v>1.9</v>
      </c>
      <c r="DB75" s="362">
        <v>670</v>
      </c>
      <c r="DC75" s="362">
        <v>360</v>
      </c>
      <c r="DD75" s="362">
        <v>22.8</v>
      </c>
      <c r="DE75" s="362">
        <v>970</v>
      </c>
      <c r="DF75" s="362" t="s">
        <v>289</v>
      </c>
      <c r="DG75" s="362">
        <v>3.4</v>
      </c>
      <c r="DH75" s="362">
        <v>8</v>
      </c>
      <c r="DI75" s="362">
        <v>12600</v>
      </c>
      <c r="DJ75" s="362">
        <v>5000</v>
      </c>
      <c r="DK75" s="362" t="s">
        <v>363</v>
      </c>
      <c r="DL75" s="362" t="s">
        <v>364</v>
      </c>
      <c r="DM75" s="362">
        <v>9.02</v>
      </c>
      <c r="DN75" s="362">
        <v>8.3699999999999992</v>
      </c>
      <c r="DO75" s="362">
        <v>1584.2</v>
      </c>
      <c r="DP75" s="362">
        <v>20.2</v>
      </c>
      <c r="DQ75" s="362">
        <v>3.17</v>
      </c>
    </row>
    <row r="76" spans="1:121" hidden="1" x14ac:dyDescent="0.25">
      <c r="A76" s="362" t="s">
        <v>162</v>
      </c>
      <c r="B76" s="56" t="str">
        <f>VLOOKUP(Table3[[#This Row],[Station]], StationName, 2, FALSE)</f>
        <v>M02-015-1</v>
      </c>
      <c r="C76" s="362">
        <v>1744007</v>
      </c>
      <c r="D76" s="221">
        <v>44349.446527777778</v>
      </c>
      <c r="E76" s="362" t="s">
        <v>293</v>
      </c>
      <c r="F76" s="362" t="s">
        <v>294</v>
      </c>
      <c r="G76" s="362" t="s">
        <v>294</v>
      </c>
      <c r="H76" s="362" t="s">
        <v>294</v>
      </c>
      <c r="I76" s="362" t="s">
        <v>294</v>
      </c>
      <c r="J76" s="362" t="s">
        <v>294</v>
      </c>
      <c r="K76" s="362" t="s">
        <v>294</v>
      </c>
      <c r="L76" s="362" t="s">
        <v>294</v>
      </c>
      <c r="M76" s="362" t="s">
        <v>294</v>
      </c>
      <c r="N76" s="362" t="s">
        <v>294</v>
      </c>
      <c r="O76" s="362" t="s">
        <v>294</v>
      </c>
      <c r="P76" s="362" t="s">
        <v>294</v>
      </c>
      <c r="Q76" s="362" t="s">
        <v>294</v>
      </c>
      <c r="R76" s="362" t="s">
        <v>294</v>
      </c>
      <c r="S76" s="362" t="s">
        <v>294</v>
      </c>
      <c r="T76" s="362" t="s">
        <v>294</v>
      </c>
      <c r="U76" s="362" t="s">
        <v>294</v>
      </c>
      <c r="V76" s="362" t="s">
        <v>294</v>
      </c>
      <c r="W76" s="362" t="s">
        <v>294</v>
      </c>
      <c r="X76" s="362" t="s">
        <v>294</v>
      </c>
      <c r="Y76" s="362" t="s">
        <v>294</v>
      </c>
      <c r="Z76" s="362" t="s">
        <v>294</v>
      </c>
      <c r="AA76" s="362" t="s">
        <v>294</v>
      </c>
      <c r="AB76" s="362" t="s">
        <v>294</v>
      </c>
      <c r="AC76" s="362" t="s">
        <v>294</v>
      </c>
      <c r="AD76" s="362" t="s">
        <v>294</v>
      </c>
      <c r="AE76" s="362" t="s">
        <v>294</v>
      </c>
      <c r="AF76" s="362" t="s">
        <v>294</v>
      </c>
      <c r="AG76" s="362" t="s">
        <v>294</v>
      </c>
      <c r="AH76" s="362" t="s">
        <v>294</v>
      </c>
      <c r="AI76" s="362" t="s">
        <v>294</v>
      </c>
      <c r="AJ76" s="362" t="s">
        <v>294</v>
      </c>
      <c r="AK76" s="362" t="s">
        <v>294</v>
      </c>
      <c r="AL76" s="362" t="s">
        <v>294</v>
      </c>
      <c r="AM76" s="362" t="s">
        <v>294</v>
      </c>
      <c r="AN76" s="362" t="s">
        <v>294</v>
      </c>
      <c r="AO76" s="362" t="s">
        <v>294</v>
      </c>
      <c r="AP76" s="362" t="s">
        <v>294</v>
      </c>
      <c r="AQ76" s="362" t="s">
        <v>294</v>
      </c>
      <c r="AR76" s="362" t="s">
        <v>294</v>
      </c>
      <c r="AS76" s="362" t="s">
        <v>294</v>
      </c>
      <c r="AT76" s="362" t="s">
        <v>294</v>
      </c>
      <c r="AU76" s="362" t="s">
        <v>294</v>
      </c>
      <c r="AV76" s="362" t="s">
        <v>294</v>
      </c>
      <c r="AW76" s="362" t="s">
        <v>294</v>
      </c>
      <c r="AX76" s="362" t="s">
        <v>294</v>
      </c>
      <c r="AY76" s="362" t="s">
        <v>294</v>
      </c>
      <c r="AZ76" s="362" t="s">
        <v>294</v>
      </c>
      <c r="BA76" s="362" t="s">
        <v>294</v>
      </c>
      <c r="BB76" s="362" t="s">
        <v>294</v>
      </c>
      <c r="BC76" s="362" t="s">
        <v>294</v>
      </c>
      <c r="BD76" s="362" t="s">
        <v>294</v>
      </c>
      <c r="BE76" s="362" t="s">
        <v>294</v>
      </c>
      <c r="BF76" s="362" t="s">
        <v>294</v>
      </c>
      <c r="BG76" s="362" t="s">
        <v>294</v>
      </c>
      <c r="BH76" s="362" t="s">
        <v>294</v>
      </c>
      <c r="BI76" s="362" t="s">
        <v>294</v>
      </c>
      <c r="BJ76" s="362" t="s">
        <v>294</v>
      </c>
      <c r="BK76" s="362" t="s">
        <v>294</v>
      </c>
      <c r="BL76" s="362" t="s">
        <v>294</v>
      </c>
      <c r="BM76" s="362" t="s">
        <v>294</v>
      </c>
      <c r="BN76" s="362" t="s">
        <v>294</v>
      </c>
      <c r="BO76" s="362" t="s">
        <v>294</v>
      </c>
      <c r="BP76" s="362" t="s">
        <v>294</v>
      </c>
      <c r="BQ76" s="362" t="s">
        <v>294</v>
      </c>
      <c r="BR76" s="362" t="s">
        <v>294</v>
      </c>
      <c r="BS76" s="362" t="s">
        <v>294</v>
      </c>
      <c r="BT76" s="362" t="s">
        <v>294</v>
      </c>
      <c r="BU76" s="362" t="s">
        <v>294</v>
      </c>
      <c r="BV76" s="362" t="s">
        <v>294</v>
      </c>
      <c r="BW76" s="362" t="s">
        <v>294</v>
      </c>
      <c r="BX76" s="362" t="s">
        <v>294</v>
      </c>
      <c r="BY76" s="362" t="s">
        <v>294</v>
      </c>
      <c r="BZ76" s="362" t="s">
        <v>294</v>
      </c>
      <c r="CA76" s="362">
        <v>2</v>
      </c>
      <c r="CB76" s="362" t="s">
        <v>254</v>
      </c>
      <c r="CC76" s="362" t="s">
        <v>294</v>
      </c>
      <c r="CD76" s="362">
        <v>9.2999999999999999E-2</v>
      </c>
      <c r="CE76" s="362">
        <v>0.49</v>
      </c>
      <c r="CF76" s="362">
        <v>8.6999999999999993</v>
      </c>
      <c r="CG76" s="362" t="s">
        <v>294</v>
      </c>
      <c r="CH76" s="362" t="s">
        <v>294</v>
      </c>
      <c r="CI76" s="362">
        <v>180</v>
      </c>
      <c r="CJ76" s="362" t="s">
        <v>254</v>
      </c>
      <c r="CK76" s="362" t="s">
        <v>294</v>
      </c>
      <c r="CL76" s="362">
        <v>7.9</v>
      </c>
      <c r="CM76" s="362" t="s">
        <v>294</v>
      </c>
      <c r="CN76" s="362" t="s">
        <v>288</v>
      </c>
      <c r="CO76" s="362">
        <v>2.5</v>
      </c>
      <c r="CP76" s="362">
        <v>1.1000000000000001</v>
      </c>
      <c r="CQ76" s="362" t="s">
        <v>254</v>
      </c>
      <c r="CR76" s="362" t="s">
        <v>254</v>
      </c>
      <c r="CS76" s="362" t="s">
        <v>294</v>
      </c>
      <c r="CT76" s="362">
        <v>10</v>
      </c>
      <c r="CU76" s="362" t="s">
        <v>294</v>
      </c>
      <c r="CV76" s="362" t="s">
        <v>294</v>
      </c>
      <c r="CW76" s="362" t="s">
        <v>294</v>
      </c>
      <c r="CX76" s="362" t="s">
        <v>294</v>
      </c>
      <c r="CY76" s="362" t="s">
        <v>294</v>
      </c>
      <c r="CZ76" s="362" t="s">
        <v>294</v>
      </c>
      <c r="DA76" s="362" t="s">
        <v>294</v>
      </c>
      <c r="DB76" s="362" t="s">
        <v>294</v>
      </c>
      <c r="DC76" s="362" t="s">
        <v>294</v>
      </c>
      <c r="DD76" s="362" t="s">
        <v>294</v>
      </c>
      <c r="DE76" s="362" t="s">
        <v>294</v>
      </c>
      <c r="DF76" s="362" t="s">
        <v>294</v>
      </c>
      <c r="DG76" s="362" t="s">
        <v>294</v>
      </c>
      <c r="DH76" s="362" t="s">
        <v>294</v>
      </c>
      <c r="DI76" s="362" t="s">
        <v>294</v>
      </c>
      <c r="DJ76" s="362" t="s">
        <v>294</v>
      </c>
      <c r="DK76" s="362" t="s">
        <v>294</v>
      </c>
      <c r="DL76" s="362" t="s">
        <v>294</v>
      </c>
      <c r="DM76" s="362" t="s">
        <v>294</v>
      </c>
      <c r="DN76" s="362" t="s">
        <v>294</v>
      </c>
      <c r="DO76" s="362" t="s">
        <v>294</v>
      </c>
      <c r="DP76" s="362" t="s">
        <v>294</v>
      </c>
      <c r="DQ76" s="362" t="s">
        <v>294</v>
      </c>
    </row>
    <row r="77" spans="1:121" x14ac:dyDescent="0.25">
      <c r="A77" s="362" t="s">
        <v>365</v>
      </c>
      <c r="B77" s="56" t="str">
        <f>VLOOKUP(Table3[[#This Row],[Station]], StationName, 2, FALSE)</f>
        <v>M02-085-1 (M02P06)</v>
      </c>
      <c r="C77" s="362">
        <v>1744005</v>
      </c>
      <c r="D77" s="221">
        <v>44349.462500000001</v>
      </c>
      <c r="E77" s="362" t="s">
        <v>283</v>
      </c>
      <c r="F77" s="362">
        <v>68</v>
      </c>
      <c r="G77" s="362">
        <v>87</v>
      </c>
      <c r="H77" s="362">
        <v>106</v>
      </c>
      <c r="I77" s="362">
        <v>90</v>
      </c>
      <c r="J77" s="362">
        <v>52</v>
      </c>
      <c r="K77" s="362">
        <v>82</v>
      </c>
      <c r="L77" s="362">
        <v>91</v>
      </c>
      <c r="M77" s="362">
        <v>85</v>
      </c>
      <c r="N77" s="362">
        <v>64</v>
      </c>
      <c r="O77" s="362" t="s">
        <v>259</v>
      </c>
      <c r="P77" s="362" t="s">
        <v>259</v>
      </c>
      <c r="Q77" s="362" t="s">
        <v>259</v>
      </c>
      <c r="R77" s="362" t="s">
        <v>259</v>
      </c>
      <c r="S77" s="362" t="s">
        <v>259</v>
      </c>
      <c r="T77" s="362" t="s">
        <v>259</v>
      </c>
      <c r="U77" s="362" t="s">
        <v>256</v>
      </c>
      <c r="V77" s="362" t="s">
        <v>256</v>
      </c>
      <c r="W77" s="362" t="s">
        <v>256</v>
      </c>
      <c r="X77" s="362" t="s">
        <v>256</v>
      </c>
      <c r="Y77" s="362" t="s">
        <v>284</v>
      </c>
      <c r="Z77" s="362" t="s">
        <v>256</v>
      </c>
      <c r="AA77" s="362" t="s">
        <v>256</v>
      </c>
      <c r="AB77" s="362" t="s">
        <v>256</v>
      </c>
      <c r="AC77" s="362" t="s">
        <v>256</v>
      </c>
      <c r="AD77" s="362" t="s">
        <v>256</v>
      </c>
      <c r="AE77" s="362" t="s">
        <v>256</v>
      </c>
      <c r="AF77" s="362" t="s">
        <v>256</v>
      </c>
      <c r="AG77" s="362" t="s">
        <v>256</v>
      </c>
      <c r="AH77" s="362" t="s">
        <v>256</v>
      </c>
      <c r="AI77" s="362" t="s">
        <v>256</v>
      </c>
      <c r="AJ77" s="362" t="s">
        <v>248</v>
      </c>
      <c r="AK77" s="362" t="s">
        <v>259</v>
      </c>
      <c r="AL77" s="362" t="s">
        <v>259</v>
      </c>
      <c r="AM77" s="362" t="s">
        <v>251</v>
      </c>
      <c r="AN77" s="362" t="s">
        <v>256</v>
      </c>
      <c r="AO77" s="362" t="s">
        <v>259</v>
      </c>
      <c r="AP77" s="362" t="s">
        <v>251</v>
      </c>
      <c r="AQ77" s="362" t="s">
        <v>256</v>
      </c>
      <c r="AR77" s="362" t="s">
        <v>256</v>
      </c>
      <c r="AS77" s="362" t="s">
        <v>285</v>
      </c>
      <c r="AT77" s="362" t="s">
        <v>259</v>
      </c>
      <c r="AU77" s="362" t="s">
        <v>284</v>
      </c>
      <c r="AV77" s="362" t="s">
        <v>259</v>
      </c>
      <c r="AW77" s="362" t="s">
        <v>256</v>
      </c>
      <c r="AX77" s="362" t="s">
        <v>256</v>
      </c>
      <c r="AY77" s="362" t="s">
        <v>256</v>
      </c>
      <c r="AZ77" s="362" t="s">
        <v>256</v>
      </c>
      <c r="BA77" s="362" t="s">
        <v>256</v>
      </c>
      <c r="BB77" s="362" t="s">
        <v>259</v>
      </c>
      <c r="BC77" s="362" t="s">
        <v>286</v>
      </c>
      <c r="BD77" s="362" t="s">
        <v>248</v>
      </c>
      <c r="BE77" s="362" t="s">
        <v>259</v>
      </c>
      <c r="BF77" s="362" t="s">
        <v>248</v>
      </c>
      <c r="BG77" s="362" t="s">
        <v>256</v>
      </c>
      <c r="BH77" s="362" t="s">
        <v>256</v>
      </c>
      <c r="BI77" s="362" t="s">
        <v>256</v>
      </c>
      <c r="BJ77" s="362" t="s">
        <v>256</v>
      </c>
      <c r="BK77" s="362" t="s">
        <v>256</v>
      </c>
      <c r="BL77" s="362" t="s">
        <v>256</v>
      </c>
      <c r="BM77" s="362" t="s">
        <v>259</v>
      </c>
      <c r="BN77" s="362" t="s">
        <v>256</v>
      </c>
      <c r="BO77" s="362" t="s">
        <v>259</v>
      </c>
      <c r="BP77" s="362" t="s">
        <v>284</v>
      </c>
      <c r="BQ77" s="362" t="s">
        <v>256</v>
      </c>
      <c r="BR77" s="362" t="s">
        <v>256</v>
      </c>
      <c r="BS77" s="362" t="s">
        <v>256</v>
      </c>
      <c r="BT77" s="362" t="s">
        <v>284</v>
      </c>
      <c r="BU77" s="362" t="s">
        <v>256</v>
      </c>
      <c r="BV77" s="362" t="s">
        <v>248</v>
      </c>
      <c r="BW77" s="362" t="s">
        <v>285</v>
      </c>
      <c r="BX77" s="362" t="s">
        <v>287</v>
      </c>
      <c r="BY77" s="362" t="s">
        <v>259</v>
      </c>
      <c r="BZ77" s="362" t="s">
        <v>259</v>
      </c>
      <c r="CA77" s="362">
        <v>6</v>
      </c>
      <c r="CB77" s="362">
        <v>110</v>
      </c>
      <c r="CC77" s="362">
        <v>372</v>
      </c>
      <c r="CD77" s="362" t="s">
        <v>230</v>
      </c>
      <c r="CE77" s="362">
        <v>0.8</v>
      </c>
      <c r="CF77" s="362">
        <v>4.3</v>
      </c>
      <c r="CG77" s="362">
        <v>16</v>
      </c>
      <c r="CH77" s="362">
        <v>2030</v>
      </c>
      <c r="CI77" s="362">
        <v>370</v>
      </c>
      <c r="CJ77" s="362" t="s">
        <v>254</v>
      </c>
      <c r="CK77" s="362">
        <v>268</v>
      </c>
      <c r="CL77" s="362">
        <v>3800</v>
      </c>
      <c r="CM77" s="362" t="s">
        <v>288</v>
      </c>
      <c r="CN77" s="362" t="s">
        <v>288</v>
      </c>
      <c r="CO77" s="362">
        <v>700</v>
      </c>
      <c r="CP77" s="362">
        <v>19</v>
      </c>
      <c r="CQ77" s="362" t="s">
        <v>254</v>
      </c>
      <c r="CR77" s="362">
        <v>0.34</v>
      </c>
      <c r="CS77" s="362">
        <v>16</v>
      </c>
      <c r="CT77" s="362">
        <v>290</v>
      </c>
      <c r="CU77" s="362">
        <v>2</v>
      </c>
      <c r="CV77" s="362">
        <v>710</v>
      </c>
      <c r="CW77" s="362">
        <v>2.4</v>
      </c>
      <c r="CX77" s="362">
        <v>3.4</v>
      </c>
      <c r="CY77" s="362">
        <v>5.8999999999999997E-2</v>
      </c>
      <c r="CZ77" s="362">
        <v>7.01</v>
      </c>
      <c r="DA77" s="362">
        <v>1.7</v>
      </c>
      <c r="DB77" s="362">
        <v>6600</v>
      </c>
      <c r="DC77" s="362">
        <v>2900</v>
      </c>
      <c r="DD77" s="362">
        <v>22.7</v>
      </c>
      <c r="DE77" s="362">
        <v>5400</v>
      </c>
      <c r="DF77" s="362" t="s">
        <v>289</v>
      </c>
      <c r="DG77" s="362">
        <v>8.9</v>
      </c>
      <c r="DH77" s="362">
        <v>9.1999999999999993</v>
      </c>
      <c r="DI77" s="362">
        <v>20</v>
      </c>
      <c r="DJ77" s="362">
        <v>690</v>
      </c>
      <c r="DK77" s="362">
        <v>490</v>
      </c>
      <c r="DL77" s="362" t="s">
        <v>312</v>
      </c>
      <c r="DM77" s="362">
        <v>7.49</v>
      </c>
      <c r="DN77" s="362">
        <v>6.96</v>
      </c>
      <c r="DO77" s="362">
        <v>9303</v>
      </c>
      <c r="DP77" s="362">
        <v>20.92</v>
      </c>
      <c r="DQ77" s="362">
        <v>8.57</v>
      </c>
    </row>
    <row r="78" spans="1:121" hidden="1" x14ac:dyDescent="0.25">
      <c r="A78" s="362" t="s">
        <v>365</v>
      </c>
      <c r="B78" s="56" t="str">
        <f>VLOOKUP(Table3[[#This Row],[Station]], StationName, 2, FALSE)</f>
        <v>M02-085-1 (M02P06)</v>
      </c>
      <c r="C78" s="362">
        <v>1744011</v>
      </c>
      <c r="D78" s="221">
        <v>44349.462500000001</v>
      </c>
      <c r="E78" s="362" t="s">
        <v>293</v>
      </c>
      <c r="F78" s="362" t="s">
        <v>294</v>
      </c>
      <c r="G78" s="362" t="s">
        <v>294</v>
      </c>
      <c r="H78" s="362" t="s">
        <v>294</v>
      </c>
      <c r="I78" s="362" t="s">
        <v>294</v>
      </c>
      <c r="J78" s="362" t="s">
        <v>294</v>
      </c>
      <c r="K78" s="362" t="s">
        <v>294</v>
      </c>
      <c r="L78" s="362" t="s">
        <v>294</v>
      </c>
      <c r="M78" s="362" t="s">
        <v>294</v>
      </c>
      <c r="N78" s="362" t="s">
        <v>294</v>
      </c>
      <c r="O78" s="362" t="s">
        <v>294</v>
      </c>
      <c r="P78" s="362" t="s">
        <v>294</v>
      </c>
      <c r="Q78" s="362" t="s">
        <v>294</v>
      </c>
      <c r="R78" s="362" t="s">
        <v>294</v>
      </c>
      <c r="S78" s="362" t="s">
        <v>294</v>
      </c>
      <c r="T78" s="362" t="s">
        <v>294</v>
      </c>
      <c r="U78" s="362" t="s">
        <v>294</v>
      </c>
      <c r="V78" s="362" t="s">
        <v>294</v>
      </c>
      <c r="W78" s="362" t="s">
        <v>294</v>
      </c>
      <c r="X78" s="362" t="s">
        <v>294</v>
      </c>
      <c r="Y78" s="362" t="s">
        <v>294</v>
      </c>
      <c r="Z78" s="362" t="s">
        <v>294</v>
      </c>
      <c r="AA78" s="362" t="s">
        <v>294</v>
      </c>
      <c r="AB78" s="362" t="s">
        <v>294</v>
      </c>
      <c r="AC78" s="362" t="s">
        <v>294</v>
      </c>
      <c r="AD78" s="362" t="s">
        <v>294</v>
      </c>
      <c r="AE78" s="362" t="s">
        <v>294</v>
      </c>
      <c r="AF78" s="362" t="s">
        <v>294</v>
      </c>
      <c r="AG78" s="362" t="s">
        <v>294</v>
      </c>
      <c r="AH78" s="362" t="s">
        <v>294</v>
      </c>
      <c r="AI78" s="362" t="s">
        <v>294</v>
      </c>
      <c r="AJ78" s="362" t="s">
        <v>294</v>
      </c>
      <c r="AK78" s="362" t="s">
        <v>294</v>
      </c>
      <c r="AL78" s="362" t="s">
        <v>294</v>
      </c>
      <c r="AM78" s="362" t="s">
        <v>294</v>
      </c>
      <c r="AN78" s="362" t="s">
        <v>294</v>
      </c>
      <c r="AO78" s="362" t="s">
        <v>294</v>
      </c>
      <c r="AP78" s="362" t="s">
        <v>294</v>
      </c>
      <c r="AQ78" s="362" t="s">
        <v>294</v>
      </c>
      <c r="AR78" s="362" t="s">
        <v>294</v>
      </c>
      <c r="AS78" s="362" t="s">
        <v>294</v>
      </c>
      <c r="AT78" s="362" t="s">
        <v>294</v>
      </c>
      <c r="AU78" s="362" t="s">
        <v>294</v>
      </c>
      <c r="AV78" s="362" t="s">
        <v>294</v>
      </c>
      <c r="AW78" s="362" t="s">
        <v>294</v>
      </c>
      <c r="AX78" s="362" t="s">
        <v>294</v>
      </c>
      <c r="AY78" s="362" t="s">
        <v>294</v>
      </c>
      <c r="AZ78" s="362" t="s">
        <v>294</v>
      </c>
      <c r="BA78" s="362" t="s">
        <v>294</v>
      </c>
      <c r="BB78" s="362" t="s">
        <v>294</v>
      </c>
      <c r="BC78" s="362" t="s">
        <v>294</v>
      </c>
      <c r="BD78" s="362" t="s">
        <v>294</v>
      </c>
      <c r="BE78" s="362" t="s">
        <v>294</v>
      </c>
      <c r="BF78" s="362" t="s">
        <v>294</v>
      </c>
      <c r="BG78" s="362" t="s">
        <v>294</v>
      </c>
      <c r="BH78" s="362" t="s">
        <v>294</v>
      </c>
      <c r="BI78" s="362" t="s">
        <v>294</v>
      </c>
      <c r="BJ78" s="362" t="s">
        <v>294</v>
      </c>
      <c r="BK78" s="362" t="s">
        <v>294</v>
      </c>
      <c r="BL78" s="362" t="s">
        <v>294</v>
      </c>
      <c r="BM78" s="362" t="s">
        <v>294</v>
      </c>
      <c r="BN78" s="362" t="s">
        <v>294</v>
      </c>
      <c r="BO78" s="362" t="s">
        <v>294</v>
      </c>
      <c r="BP78" s="362" t="s">
        <v>294</v>
      </c>
      <c r="BQ78" s="362" t="s">
        <v>294</v>
      </c>
      <c r="BR78" s="362" t="s">
        <v>294</v>
      </c>
      <c r="BS78" s="362" t="s">
        <v>294</v>
      </c>
      <c r="BT78" s="362" t="s">
        <v>294</v>
      </c>
      <c r="BU78" s="362" t="s">
        <v>294</v>
      </c>
      <c r="BV78" s="362" t="s">
        <v>294</v>
      </c>
      <c r="BW78" s="362" t="s">
        <v>294</v>
      </c>
      <c r="BX78" s="362" t="s">
        <v>294</v>
      </c>
      <c r="BY78" s="362" t="s">
        <v>294</v>
      </c>
      <c r="BZ78" s="362" t="s">
        <v>294</v>
      </c>
      <c r="CA78" s="362">
        <v>3.4</v>
      </c>
      <c r="CB78" s="362">
        <v>110</v>
      </c>
      <c r="CC78" s="362" t="s">
        <v>294</v>
      </c>
      <c r="CD78" s="362" t="s">
        <v>230</v>
      </c>
      <c r="CE78" s="362">
        <v>0.82</v>
      </c>
      <c r="CF78" s="362">
        <v>4.7</v>
      </c>
      <c r="CG78" s="362" t="s">
        <v>294</v>
      </c>
      <c r="CH78" s="362" t="s">
        <v>294</v>
      </c>
      <c r="CI78" s="362">
        <v>25</v>
      </c>
      <c r="CJ78" s="362" t="s">
        <v>254</v>
      </c>
      <c r="CK78" s="362" t="s">
        <v>294</v>
      </c>
      <c r="CL78" s="362">
        <v>3700</v>
      </c>
      <c r="CM78" s="362" t="s">
        <v>294</v>
      </c>
      <c r="CN78" s="362" t="s">
        <v>288</v>
      </c>
      <c r="CO78" s="362">
        <v>690</v>
      </c>
      <c r="CP78" s="362">
        <v>20</v>
      </c>
      <c r="CQ78" s="362" t="s">
        <v>254</v>
      </c>
      <c r="CR78" s="362">
        <v>0.34</v>
      </c>
      <c r="CS78" s="362" t="s">
        <v>294</v>
      </c>
      <c r="CT78" s="362">
        <v>270</v>
      </c>
      <c r="CU78" s="362" t="s">
        <v>294</v>
      </c>
      <c r="CV78" s="362" t="s">
        <v>294</v>
      </c>
      <c r="CW78" s="362" t="s">
        <v>294</v>
      </c>
      <c r="CX78" s="362" t="s">
        <v>294</v>
      </c>
      <c r="CY78" s="362" t="s">
        <v>294</v>
      </c>
      <c r="CZ78" s="362" t="s">
        <v>294</v>
      </c>
      <c r="DA78" s="362" t="s">
        <v>294</v>
      </c>
      <c r="DB78" s="362" t="s">
        <v>294</v>
      </c>
      <c r="DC78" s="362" t="s">
        <v>294</v>
      </c>
      <c r="DD78" s="362" t="s">
        <v>294</v>
      </c>
      <c r="DE78" s="362" t="s">
        <v>294</v>
      </c>
      <c r="DF78" s="362" t="s">
        <v>294</v>
      </c>
      <c r="DG78" s="362" t="s">
        <v>294</v>
      </c>
      <c r="DH78" s="362" t="s">
        <v>294</v>
      </c>
      <c r="DI78" s="362" t="s">
        <v>294</v>
      </c>
      <c r="DJ78" s="362" t="s">
        <v>294</v>
      </c>
      <c r="DK78" s="362" t="s">
        <v>294</v>
      </c>
      <c r="DL78" s="362" t="s">
        <v>294</v>
      </c>
      <c r="DM78" s="362" t="s">
        <v>294</v>
      </c>
      <c r="DN78" s="362" t="s">
        <v>294</v>
      </c>
      <c r="DO78" s="362" t="s">
        <v>294</v>
      </c>
      <c r="DP78" s="362" t="s">
        <v>294</v>
      </c>
      <c r="DQ78" s="362" t="s">
        <v>294</v>
      </c>
    </row>
    <row r="79" spans="1:121" x14ac:dyDescent="0.25">
      <c r="A79" s="362" t="s">
        <v>166</v>
      </c>
      <c r="B79" s="56" t="str">
        <f>VLOOKUP(Table3[[#This Row],[Station]], StationName, 2, FALSE)</f>
        <v>M02-085-2</v>
      </c>
      <c r="C79" s="362">
        <v>1744006</v>
      </c>
      <c r="D79" s="221">
        <v>44349.46875</v>
      </c>
      <c r="E79" s="362" t="s">
        <v>283</v>
      </c>
      <c r="F79" s="362">
        <v>66</v>
      </c>
      <c r="G79" s="362">
        <v>86</v>
      </c>
      <c r="H79" s="362">
        <v>95</v>
      </c>
      <c r="I79" s="362">
        <v>86</v>
      </c>
      <c r="J79" s="362">
        <v>49</v>
      </c>
      <c r="K79" s="362">
        <v>75</v>
      </c>
      <c r="L79" s="362">
        <v>84</v>
      </c>
      <c r="M79" s="362">
        <v>86</v>
      </c>
      <c r="N79" s="362">
        <v>61</v>
      </c>
      <c r="O79" s="362" t="s">
        <v>259</v>
      </c>
      <c r="P79" s="362" t="s">
        <v>259</v>
      </c>
      <c r="Q79" s="362" t="s">
        <v>259</v>
      </c>
      <c r="R79" s="362" t="s">
        <v>259</v>
      </c>
      <c r="S79" s="362" t="s">
        <v>259</v>
      </c>
      <c r="T79" s="362" t="s">
        <v>259</v>
      </c>
      <c r="U79" s="362" t="s">
        <v>256</v>
      </c>
      <c r="V79" s="362" t="s">
        <v>256</v>
      </c>
      <c r="W79" s="362" t="s">
        <v>256</v>
      </c>
      <c r="X79" s="362" t="s">
        <v>256</v>
      </c>
      <c r="Y79" s="362" t="s">
        <v>284</v>
      </c>
      <c r="Z79" s="362" t="s">
        <v>256</v>
      </c>
      <c r="AA79" s="362" t="s">
        <v>256</v>
      </c>
      <c r="AB79" s="362" t="s">
        <v>256</v>
      </c>
      <c r="AC79" s="362" t="s">
        <v>256</v>
      </c>
      <c r="AD79" s="362" t="s">
        <v>256</v>
      </c>
      <c r="AE79" s="362" t="s">
        <v>256</v>
      </c>
      <c r="AF79" s="362" t="s">
        <v>256</v>
      </c>
      <c r="AG79" s="362" t="s">
        <v>256</v>
      </c>
      <c r="AH79" s="362" t="s">
        <v>256</v>
      </c>
      <c r="AI79" s="362" t="s">
        <v>256</v>
      </c>
      <c r="AJ79" s="362" t="s">
        <v>248</v>
      </c>
      <c r="AK79" s="362" t="s">
        <v>259</v>
      </c>
      <c r="AL79" s="362" t="s">
        <v>259</v>
      </c>
      <c r="AM79" s="362" t="s">
        <v>251</v>
      </c>
      <c r="AN79" s="362" t="s">
        <v>256</v>
      </c>
      <c r="AO79" s="362" t="s">
        <v>259</v>
      </c>
      <c r="AP79" s="362" t="s">
        <v>251</v>
      </c>
      <c r="AQ79" s="362" t="s">
        <v>256</v>
      </c>
      <c r="AR79" s="362" t="s">
        <v>256</v>
      </c>
      <c r="AS79" s="362" t="s">
        <v>285</v>
      </c>
      <c r="AT79" s="362" t="s">
        <v>259</v>
      </c>
      <c r="AU79" s="362" t="s">
        <v>284</v>
      </c>
      <c r="AV79" s="362" t="s">
        <v>259</v>
      </c>
      <c r="AW79" s="362" t="s">
        <v>256</v>
      </c>
      <c r="AX79" s="362" t="s">
        <v>256</v>
      </c>
      <c r="AY79" s="362" t="s">
        <v>256</v>
      </c>
      <c r="AZ79" s="362" t="s">
        <v>256</v>
      </c>
      <c r="BA79" s="362" t="s">
        <v>256</v>
      </c>
      <c r="BB79" s="362" t="s">
        <v>259</v>
      </c>
      <c r="BC79" s="362" t="s">
        <v>286</v>
      </c>
      <c r="BD79" s="362" t="s">
        <v>248</v>
      </c>
      <c r="BE79" s="362" t="s">
        <v>259</v>
      </c>
      <c r="BF79" s="362" t="s">
        <v>248</v>
      </c>
      <c r="BG79" s="362" t="s">
        <v>256</v>
      </c>
      <c r="BH79" s="362" t="s">
        <v>256</v>
      </c>
      <c r="BI79" s="362" t="s">
        <v>256</v>
      </c>
      <c r="BJ79" s="362" t="s">
        <v>256</v>
      </c>
      <c r="BK79" s="362" t="s">
        <v>256</v>
      </c>
      <c r="BL79" s="362" t="s">
        <v>256</v>
      </c>
      <c r="BM79" s="362" t="s">
        <v>259</v>
      </c>
      <c r="BN79" s="362" t="s">
        <v>256</v>
      </c>
      <c r="BO79" s="362" t="s">
        <v>259</v>
      </c>
      <c r="BP79" s="362" t="s">
        <v>284</v>
      </c>
      <c r="BQ79" s="362" t="s">
        <v>256</v>
      </c>
      <c r="BR79" s="362" t="s">
        <v>256</v>
      </c>
      <c r="BS79" s="362" t="s">
        <v>256</v>
      </c>
      <c r="BT79" s="362" t="s">
        <v>284</v>
      </c>
      <c r="BU79" s="362">
        <v>1.08</v>
      </c>
      <c r="BV79" s="362" t="s">
        <v>248</v>
      </c>
      <c r="BW79" s="362" t="s">
        <v>285</v>
      </c>
      <c r="BX79" s="362" t="s">
        <v>287</v>
      </c>
      <c r="BY79" s="362" t="s">
        <v>259</v>
      </c>
      <c r="BZ79" s="362" t="s">
        <v>259</v>
      </c>
      <c r="CA79" s="362">
        <v>2.5</v>
      </c>
      <c r="CB79" s="362">
        <v>1.1000000000000001</v>
      </c>
      <c r="CC79" s="362">
        <v>136</v>
      </c>
      <c r="CD79" s="362">
        <v>0.11</v>
      </c>
      <c r="CE79" s="362">
        <v>0.35</v>
      </c>
      <c r="CF79" s="362">
        <v>6.1</v>
      </c>
      <c r="CG79" s="362">
        <v>9.4</v>
      </c>
      <c r="CH79" s="362">
        <v>547</v>
      </c>
      <c r="CI79" s="362">
        <v>120</v>
      </c>
      <c r="CJ79" s="362" t="s">
        <v>254</v>
      </c>
      <c r="CK79" s="362">
        <v>50.4</v>
      </c>
      <c r="CL79" s="362">
        <v>21</v>
      </c>
      <c r="CM79" s="362" t="s">
        <v>288</v>
      </c>
      <c r="CN79" s="362" t="s">
        <v>288</v>
      </c>
      <c r="CO79" s="362">
        <v>9.9</v>
      </c>
      <c r="CP79" s="362">
        <v>2.9</v>
      </c>
      <c r="CQ79" s="362" t="s">
        <v>254</v>
      </c>
      <c r="CR79" s="362" t="s">
        <v>254</v>
      </c>
      <c r="CS79" s="362">
        <v>10</v>
      </c>
      <c r="CT79" s="362">
        <v>13</v>
      </c>
      <c r="CU79" s="362">
        <v>2.1</v>
      </c>
      <c r="CV79" s="362">
        <v>270</v>
      </c>
      <c r="CW79" s="362">
        <v>6.6</v>
      </c>
      <c r="CX79" s="362">
        <v>4.2</v>
      </c>
      <c r="CY79" s="362">
        <v>0.32</v>
      </c>
      <c r="CZ79" s="362">
        <v>7.42</v>
      </c>
      <c r="DA79" s="362">
        <v>1.8</v>
      </c>
      <c r="DB79" s="362">
        <v>3200</v>
      </c>
      <c r="DC79" s="362">
        <v>480</v>
      </c>
      <c r="DD79" s="362">
        <v>22.7</v>
      </c>
      <c r="DE79" s="362">
        <v>1300</v>
      </c>
      <c r="DF79" s="362" t="s">
        <v>296</v>
      </c>
      <c r="DG79" s="362">
        <v>2.2999999999999998</v>
      </c>
      <c r="DH79" s="362">
        <v>2.6</v>
      </c>
      <c r="DI79" s="362">
        <v>2700</v>
      </c>
      <c r="DJ79" s="362">
        <v>2000</v>
      </c>
      <c r="DK79" s="362">
        <v>2600</v>
      </c>
      <c r="DL79" s="362" t="s">
        <v>366</v>
      </c>
      <c r="DM79" s="362">
        <v>8.5</v>
      </c>
      <c r="DN79" s="362">
        <v>8.01</v>
      </c>
      <c r="DO79" s="362">
        <v>2067.5</v>
      </c>
      <c r="DP79" s="362">
        <v>18.87</v>
      </c>
      <c r="DQ79" s="362">
        <v>2.2799999999999998</v>
      </c>
    </row>
    <row r="80" spans="1:121" hidden="1" x14ac:dyDescent="0.25">
      <c r="A80" s="362" t="s">
        <v>166</v>
      </c>
      <c r="B80" s="56" t="str">
        <f>VLOOKUP(Table3[[#This Row],[Station]], StationName, 2, FALSE)</f>
        <v>M02-085-2</v>
      </c>
      <c r="C80" s="362">
        <v>1744012</v>
      </c>
      <c r="D80" s="221">
        <v>44349.46875</v>
      </c>
      <c r="E80" s="362" t="s">
        <v>293</v>
      </c>
      <c r="F80" s="362" t="s">
        <v>294</v>
      </c>
      <c r="G80" s="362" t="s">
        <v>294</v>
      </c>
      <c r="H80" s="362" t="s">
        <v>294</v>
      </c>
      <c r="I80" s="362" t="s">
        <v>294</v>
      </c>
      <c r="J80" s="362" t="s">
        <v>294</v>
      </c>
      <c r="K80" s="362" t="s">
        <v>294</v>
      </c>
      <c r="L80" s="362" t="s">
        <v>294</v>
      </c>
      <c r="M80" s="362" t="s">
        <v>294</v>
      </c>
      <c r="N80" s="362" t="s">
        <v>294</v>
      </c>
      <c r="O80" s="362" t="s">
        <v>294</v>
      </c>
      <c r="P80" s="362" t="s">
        <v>294</v>
      </c>
      <c r="Q80" s="362" t="s">
        <v>294</v>
      </c>
      <c r="R80" s="362" t="s">
        <v>294</v>
      </c>
      <c r="S80" s="362" t="s">
        <v>294</v>
      </c>
      <c r="T80" s="362" t="s">
        <v>294</v>
      </c>
      <c r="U80" s="362" t="s">
        <v>294</v>
      </c>
      <c r="V80" s="362" t="s">
        <v>294</v>
      </c>
      <c r="W80" s="362" t="s">
        <v>294</v>
      </c>
      <c r="X80" s="362" t="s">
        <v>294</v>
      </c>
      <c r="Y80" s="362" t="s">
        <v>294</v>
      </c>
      <c r="Z80" s="362" t="s">
        <v>294</v>
      </c>
      <c r="AA80" s="362" t="s">
        <v>294</v>
      </c>
      <c r="AB80" s="362" t="s">
        <v>294</v>
      </c>
      <c r="AC80" s="362" t="s">
        <v>294</v>
      </c>
      <c r="AD80" s="362" t="s">
        <v>294</v>
      </c>
      <c r="AE80" s="362" t="s">
        <v>294</v>
      </c>
      <c r="AF80" s="362" t="s">
        <v>294</v>
      </c>
      <c r="AG80" s="362" t="s">
        <v>294</v>
      </c>
      <c r="AH80" s="362" t="s">
        <v>294</v>
      </c>
      <c r="AI80" s="362" t="s">
        <v>294</v>
      </c>
      <c r="AJ80" s="362" t="s">
        <v>294</v>
      </c>
      <c r="AK80" s="362" t="s">
        <v>294</v>
      </c>
      <c r="AL80" s="362" t="s">
        <v>294</v>
      </c>
      <c r="AM80" s="362" t="s">
        <v>294</v>
      </c>
      <c r="AN80" s="362" t="s">
        <v>294</v>
      </c>
      <c r="AO80" s="362" t="s">
        <v>294</v>
      </c>
      <c r="AP80" s="362" t="s">
        <v>294</v>
      </c>
      <c r="AQ80" s="362" t="s">
        <v>294</v>
      </c>
      <c r="AR80" s="362" t="s">
        <v>294</v>
      </c>
      <c r="AS80" s="362" t="s">
        <v>294</v>
      </c>
      <c r="AT80" s="362" t="s">
        <v>294</v>
      </c>
      <c r="AU80" s="362" t="s">
        <v>294</v>
      </c>
      <c r="AV80" s="362" t="s">
        <v>294</v>
      </c>
      <c r="AW80" s="362" t="s">
        <v>294</v>
      </c>
      <c r="AX80" s="362" t="s">
        <v>294</v>
      </c>
      <c r="AY80" s="362" t="s">
        <v>294</v>
      </c>
      <c r="AZ80" s="362" t="s">
        <v>294</v>
      </c>
      <c r="BA80" s="362" t="s">
        <v>294</v>
      </c>
      <c r="BB80" s="362" t="s">
        <v>294</v>
      </c>
      <c r="BC80" s="362" t="s">
        <v>294</v>
      </c>
      <c r="BD80" s="362" t="s">
        <v>294</v>
      </c>
      <c r="BE80" s="362" t="s">
        <v>294</v>
      </c>
      <c r="BF80" s="362" t="s">
        <v>294</v>
      </c>
      <c r="BG80" s="362" t="s">
        <v>294</v>
      </c>
      <c r="BH80" s="362" t="s">
        <v>294</v>
      </c>
      <c r="BI80" s="362" t="s">
        <v>294</v>
      </c>
      <c r="BJ80" s="362" t="s">
        <v>294</v>
      </c>
      <c r="BK80" s="362" t="s">
        <v>294</v>
      </c>
      <c r="BL80" s="362" t="s">
        <v>294</v>
      </c>
      <c r="BM80" s="362" t="s">
        <v>294</v>
      </c>
      <c r="BN80" s="362" t="s">
        <v>294</v>
      </c>
      <c r="BO80" s="362" t="s">
        <v>294</v>
      </c>
      <c r="BP80" s="362" t="s">
        <v>294</v>
      </c>
      <c r="BQ80" s="362" t="s">
        <v>294</v>
      </c>
      <c r="BR80" s="362" t="s">
        <v>294</v>
      </c>
      <c r="BS80" s="362" t="s">
        <v>294</v>
      </c>
      <c r="BT80" s="362" t="s">
        <v>294</v>
      </c>
      <c r="BU80" s="362" t="s">
        <v>294</v>
      </c>
      <c r="BV80" s="362" t="s">
        <v>294</v>
      </c>
      <c r="BW80" s="362" t="s">
        <v>294</v>
      </c>
      <c r="BX80" s="362" t="s">
        <v>294</v>
      </c>
      <c r="BY80" s="362" t="s">
        <v>294</v>
      </c>
      <c r="BZ80" s="362" t="s">
        <v>294</v>
      </c>
      <c r="CA80" s="362">
        <v>2.5</v>
      </c>
      <c r="CB80" s="362">
        <v>0.86</v>
      </c>
      <c r="CC80" s="362" t="s">
        <v>294</v>
      </c>
      <c r="CD80" s="362">
        <v>0.1</v>
      </c>
      <c r="CE80" s="362">
        <v>0.31</v>
      </c>
      <c r="CF80" s="362">
        <v>5.6</v>
      </c>
      <c r="CG80" s="362" t="s">
        <v>294</v>
      </c>
      <c r="CH80" s="362" t="s">
        <v>294</v>
      </c>
      <c r="CI80" s="362">
        <v>44</v>
      </c>
      <c r="CJ80" s="362" t="s">
        <v>254</v>
      </c>
      <c r="CK80" s="362" t="s">
        <v>294</v>
      </c>
      <c r="CL80" s="362">
        <v>12</v>
      </c>
      <c r="CM80" s="362" t="s">
        <v>294</v>
      </c>
      <c r="CN80" s="362" t="s">
        <v>288</v>
      </c>
      <c r="CO80" s="362">
        <v>15</v>
      </c>
      <c r="CP80" s="362">
        <v>2.9</v>
      </c>
      <c r="CQ80" s="362" t="s">
        <v>254</v>
      </c>
      <c r="CR80" s="362" t="s">
        <v>254</v>
      </c>
      <c r="CS80" s="362" t="s">
        <v>294</v>
      </c>
      <c r="CT80" s="362">
        <v>26</v>
      </c>
      <c r="CU80" s="362" t="s">
        <v>294</v>
      </c>
      <c r="CV80" s="362" t="s">
        <v>294</v>
      </c>
      <c r="CW80" s="362" t="s">
        <v>294</v>
      </c>
      <c r="CX80" s="362" t="s">
        <v>294</v>
      </c>
      <c r="CY80" s="362" t="s">
        <v>294</v>
      </c>
      <c r="CZ80" s="362" t="s">
        <v>294</v>
      </c>
      <c r="DA80" s="362" t="s">
        <v>294</v>
      </c>
      <c r="DB80" s="362" t="s">
        <v>294</v>
      </c>
      <c r="DC80" s="362" t="s">
        <v>294</v>
      </c>
      <c r="DD80" s="362" t="s">
        <v>294</v>
      </c>
      <c r="DE80" s="362" t="s">
        <v>294</v>
      </c>
      <c r="DF80" s="362" t="s">
        <v>294</v>
      </c>
      <c r="DG80" s="362" t="s">
        <v>294</v>
      </c>
      <c r="DH80" s="362" t="s">
        <v>294</v>
      </c>
      <c r="DI80" s="362" t="s">
        <v>294</v>
      </c>
      <c r="DJ80" s="362" t="s">
        <v>294</v>
      </c>
      <c r="DK80" s="362" t="s">
        <v>294</v>
      </c>
      <c r="DL80" s="362" t="s">
        <v>294</v>
      </c>
      <c r="DM80" s="362" t="s">
        <v>294</v>
      </c>
      <c r="DN80" s="362" t="s">
        <v>294</v>
      </c>
      <c r="DO80" s="362" t="s">
        <v>294</v>
      </c>
      <c r="DP80" s="362" t="s">
        <v>294</v>
      </c>
      <c r="DQ80" s="362" t="s">
        <v>294</v>
      </c>
    </row>
    <row r="81" spans="1:121" x14ac:dyDescent="0.25">
      <c r="A81" s="362" t="s">
        <v>367</v>
      </c>
      <c r="B81" s="56" t="str">
        <f>VLOOKUP(Table3[[#This Row],[Station]], StationName, 2, FALSE)</f>
        <v>L02-246-1 (L11P01)</v>
      </c>
      <c r="C81" s="362">
        <v>1756001</v>
      </c>
      <c r="D81" s="221">
        <v>44350.357638888891</v>
      </c>
      <c r="E81" s="362" t="s">
        <v>283</v>
      </c>
      <c r="F81" s="362">
        <v>64</v>
      </c>
      <c r="G81" s="362">
        <v>87</v>
      </c>
      <c r="H81" s="362">
        <v>90</v>
      </c>
      <c r="I81" s="362">
        <v>84</v>
      </c>
      <c r="J81" s="362">
        <v>47</v>
      </c>
      <c r="K81" s="362">
        <v>64</v>
      </c>
      <c r="L81" s="362">
        <v>70</v>
      </c>
      <c r="M81" s="362">
        <v>73</v>
      </c>
      <c r="N81" s="362">
        <v>52</v>
      </c>
      <c r="O81" s="362" t="s">
        <v>259</v>
      </c>
      <c r="P81" s="362" t="s">
        <v>259</v>
      </c>
      <c r="Q81" s="362" t="s">
        <v>259</v>
      </c>
      <c r="R81" s="362" t="s">
        <v>259</v>
      </c>
      <c r="S81" s="362" t="s">
        <v>259</v>
      </c>
      <c r="T81" s="362" t="s">
        <v>259</v>
      </c>
      <c r="U81" s="362" t="s">
        <v>256</v>
      </c>
      <c r="V81" s="362" t="s">
        <v>256</v>
      </c>
      <c r="W81" s="362" t="s">
        <v>256</v>
      </c>
      <c r="X81" s="362" t="s">
        <v>256</v>
      </c>
      <c r="Y81" s="362" t="s">
        <v>284</v>
      </c>
      <c r="Z81" s="362" t="s">
        <v>256</v>
      </c>
      <c r="AA81" s="362" t="s">
        <v>256</v>
      </c>
      <c r="AB81" s="362" t="s">
        <v>256</v>
      </c>
      <c r="AC81" s="362" t="s">
        <v>256</v>
      </c>
      <c r="AD81" s="362" t="s">
        <v>256</v>
      </c>
      <c r="AE81" s="362" t="s">
        <v>256</v>
      </c>
      <c r="AF81" s="362" t="s">
        <v>256</v>
      </c>
      <c r="AG81" s="362" t="s">
        <v>256</v>
      </c>
      <c r="AH81" s="362" t="s">
        <v>256</v>
      </c>
      <c r="AI81" s="362" t="s">
        <v>256</v>
      </c>
      <c r="AJ81" s="362" t="s">
        <v>248</v>
      </c>
      <c r="AK81" s="362" t="s">
        <v>259</v>
      </c>
      <c r="AL81" s="362" t="s">
        <v>259</v>
      </c>
      <c r="AM81" s="362" t="s">
        <v>251</v>
      </c>
      <c r="AN81" s="362" t="s">
        <v>256</v>
      </c>
      <c r="AO81" s="362" t="s">
        <v>259</v>
      </c>
      <c r="AP81" s="362" t="s">
        <v>251</v>
      </c>
      <c r="AQ81" s="362" t="s">
        <v>256</v>
      </c>
      <c r="AR81" s="362" t="s">
        <v>256</v>
      </c>
      <c r="AS81" s="362" t="s">
        <v>285</v>
      </c>
      <c r="AT81" s="362" t="s">
        <v>259</v>
      </c>
      <c r="AU81" s="362" t="s">
        <v>284</v>
      </c>
      <c r="AV81" s="362" t="s">
        <v>259</v>
      </c>
      <c r="AW81" s="362" t="s">
        <v>256</v>
      </c>
      <c r="AX81" s="362" t="s">
        <v>256</v>
      </c>
      <c r="AY81" s="362" t="s">
        <v>256</v>
      </c>
      <c r="AZ81" s="362" t="s">
        <v>256</v>
      </c>
      <c r="BA81" s="362" t="s">
        <v>256</v>
      </c>
      <c r="BB81" s="362" t="s">
        <v>259</v>
      </c>
      <c r="BC81" s="362" t="s">
        <v>286</v>
      </c>
      <c r="BD81" s="362" t="s">
        <v>248</v>
      </c>
      <c r="BE81" s="362" t="s">
        <v>259</v>
      </c>
      <c r="BF81" s="362" t="s">
        <v>248</v>
      </c>
      <c r="BG81" s="362" t="s">
        <v>256</v>
      </c>
      <c r="BH81" s="362" t="s">
        <v>256</v>
      </c>
      <c r="BI81" s="362" t="s">
        <v>256</v>
      </c>
      <c r="BJ81" s="362" t="s">
        <v>256</v>
      </c>
      <c r="BK81" s="362" t="s">
        <v>256</v>
      </c>
      <c r="BL81" s="362" t="s">
        <v>256</v>
      </c>
      <c r="BM81" s="362" t="s">
        <v>259</v>
      </c>
      <c r="BN81" s="362" t="s">
        <v>256</v>
      </c>
      <c r="BO81" s="362" t="s">
        <v>259</v>
      </c>
      <c r="BP81" s="362" t="s">
        <v>284</v>
      </c>
      <c r="BQ81" s="362" t="s">
        <v>256</v>
      </c>
      <c r="BR81" s="362" t="s">
        <v>256</v>
      </c>
      <c r="BS81" s="362">
        <v>1.28</v>
      </c>
      <c r="BT81" s="362" t="s">
        <v>284</v>
      </c>
      <c r="BU81" s="362">
        <v>1.43</v>
      </c>
      <c r="BV81" s="362" t="s">
        <v>248</v>
      </c>
      <c r="BW81" s="362" t="s">
        <v>285</v>
      </c>
      <c r="BX81" s="362" t="s">
        <v>287</v>
      </c>
      <c r="BY81" s="362" t="s">
        <v>259</v>
      </c>
      <c r="BZ81" s="362" t="s">
        <v>259</v>
      </c>
      <c r="CA81" s="362">
        <v>1.9</v>
      </c>
      <c r="CB81" s="362" t="s">
        <v>254</v>
      </c>
      <c r="CC81" s="362">
        <v>136</v>
      </c>
      <c r="CD81" s="362">
        <v>5.1999999999999998E-2</v>
      </c>
      <c r="CE81" s="362">
        <v>0.22</v>
      </c>
      <c r="CF81" s="362">
        <v>5.2</v>
      </c>
      <c r="CG81" s="362">
        <v>13</v>
      </c>
      <c r="CH81" s="362">
        <v>520</v>
      </c>
      <c r="CI81" s="362">
        <v>53</v>
      </c>
      <c r="CJ81" s="362" t="s">
        <v>254</v>
      </c>
      <c r="CK81" s="362">
        <v>44.1</v>
      </c>
      <c r="CL81" s="362">
        <v>7.2</v>
      </c>
      <c r="CM81" s="362">
        <v>0.06</v>
      </c>
      <c r="CN81" s="362" t="s">
        <v>288</v>
      </c>
      <c r="CO81" s="362" t="s">
        <v>259</v>
      </c>
      <c r="CP81" s="362">
        <v>1.1000000000000001</v>
      </c>
      <c r="CQ81" s="362" t="s">
        <v>254</v>
      </c>
      <c r="CR81" s="362" t="s">
        <v>254</v>
      </c>
      <c r="CS81" s="362">
        <v>15</v>
      </c>
      <c r="CT81" s="362" t="s">
        <v>284</v>
      </c>
      <c r="CU81" s="362" t="s">
        <v>153</v>
      </c>
      <c r="CV81" s="362">
        <v>180</v>
      </c>
      <c r="CW81" s="362">
        <v>2.9</v>
      </c>
      <c r="CX81" s="362">
        <v>1.9</v>
      </c>
      <c r="CY81" s="362">
        <v>0.38</v>
      </c>
      <c r="CZ81" s="362">
        <v>8.07</v>
      </c>
      <c r="DA81" s="362">
        <v>1.8</v>
      </c>
      <c r="DB81" s="362">
        <v>1700</v>
      </c>
      <c r="DC81" s="362">
        <v>370</v>
      </c>
      <c r="DD81" s="362">
        <v>22.7</v>
      </c>
      <c r="DE81" s="362">
        <v>1000</v>
      </c>
      <c r="DF81" s="362" t="s">
        <v>289</v>
      </c>
      <c r="DG81" s="362">
        <v>1</v>
      </c>
      <c r="DH81" s="362">
        <v>2</v>
      </c>
      <c r="DI81" s="362">
        <v>8600</v>
      </c>
      <c r="DJ81" s="362" t="s">
        <v>336</v>
      </c>
      <c r="DK81" s="362" t="s">
        <v>368</v>
      </c>
      <c r="DL81" s="362" t="s">
        <v>369</v>
      </c>
      <c r="DM81" s="362">
        <v>8.4</v>
      </c>
      <c r="DN81" s="362">
        <v>8.2100000000000009</v>
      </c>
      <c r="DO81" s="362">
        <v>2325.87</v>
      </c>
      <c r="DP81" s="362">
        <v>20.39</v>
      </c>
      <c r="DQ81" s="362" t="s">
        <v>294</v>
      </c>
    </row>
    <row r="82" spans="1:121" hidden="1" x14ac:dyDescent="0.25">
      <c r="A82" s="362" t="s">
        <v>367</v>
      </c>
      <c r="B82" s="56" t="str">
        <f>VLOOKUP(Table3[[#This Row],[Station]], StationName, 2, FALSE)</f>
        <v>L02-246-1 (L11P01)</v>
      </c>
      <c r="C82" s="362">
        <v>1756006</v>
      </c>
      <c r="D82" s="221">
        <v>44350.357638888891</v>
      </c>
      <c r="E82" s="362" t="s">
        <v>293</v>
      </c>
      <c r="F82" s="362" t="s">
        <v>294</v>
      </c>
      <c r="G82" s="362" t="s">
        <v>294</v>
      </c>
      <c r="H82" s="362" t="s">
        <v>294</v>
      </c>
      <c r="I82" s="362" t="s">
        <v>294</v>
      </c>
      <c r="J82" s="362" t="s">
        <v>294</v>
      </c>
      <c r="K82" s="362" t="s">
        <v>294</v>
      </c>
      <c r="L82" s="362" t="s">
        <v>294</v>
      </c>
      <c r="M82" s="362" t="s">
        <v>294</v>
      </c>
      <c r="N82" s="362" t="s">
        <v>294</v>
      </c>
      <c r="O82" s="362" t="s">
        <v>294</v>
      </c>
      <c r="P82" s="362" t="s">
        <v>294</v>
      </c>
      <c r="Q82" s="362" t="s">
        <v>294</v>
      </c>
      <c r="R82" s="362" t="s">
        <v>294</v>
      </c>
      <c r="S82" s="362" t="s">
        <v>294</v>
      </c>
      <c r="T82" s="362" t="s">
        <v>294</v>
      </c>
      <c r="U82" s="362" t="s">
        <v>294</v>
      </c>
      <c r="V82" s="362" t="s">
        <v>294</v>
      </c>
      <c r="W82" s="362" t="s">
        <v>294</v>
      </c>
      <c r="X82" s="362" t="s">
        <v>294</v>
      </c>
      <c r="Y82" s="362" t="s">
        <v>294</v>
      </c>
      <c r="Z82" s="362" t="s">
        <v>294</v>
      </c>
      <c r="AA82" s="362" t="s">
        <v>294</v>
      </c>
      <c r="AB82" s="362" t="s">
        <v>294</v>
      </c>
      <c r="AC82" s="362" t="s">
        <v>294</v>
      </c>
      <c r="AD82" s="362" t="s">
        <v>294</v>
      </c>
      <c r="AE82" s="362" t="s">
        <v>294</v>
      </c>
      <c r="AF82" s="362" t="s">
        <v>294</v>
      </c>
      <c r="AG82" s="362" t="s">
        <v>294</v>
      </c>
      <c r="AH82" s="362" t="s">
        <v>294</v>
      </c>
      <c r="AI82" s="362" t="s">
        <v>294</v>
      </c>
      <c r="AJ82" s="362" t="s">
        <v>294</v>
      </c>
      <c r="AK82" s="362" t="s">
        <v>294</v>
      </c>
      <c r="AL82" s="362" t="s">
        <v>294</v>
      </c>
      <c r="AM82" s="362" t="s">
        <v>294</v>
      </c>
      <c r="AN82" s="362" t="s">
        <v>294</v>
      </c>
      <c r="AO82" s="362" t="s">
        <v>294</v>
      </c>
      <c r="AP82" s="362" t="s">
        <v>294</v>
      </c>
      <c r="AQ82" s="362" t="s">
        <v>294</v>
      </c>
      <c r="AR82" s="362" t="s">
        <v>294</v>
      </c>
      <c r="AS82" s="362" t="s">
        <v>294</v>
      </c>
      <c r="AT82" s="362" t="s">
        <v>294</v>
      </c>
      <c r="AU82" s="362" t="s">
        <v>294</v>
      </c>
      <c r="AV82" s="362" t="s">
        <v>294</v>
      </c>
      <c r="AW82" s="362" t="s">
        <v>294</v>
      </c>
      <c r="AX82" s="362" t="s">
        <v>294</v>
      </c>
      <c r="AY82" s="362" t="s">
        <v>294</v>
      </c>
      <c r="AZ82" s="362" t="s">
        <v>294</v>
      </c>
      <c r="BA82" s="362" t="s">
        <v>294</v>
      </c>
      <c r="BB82" s="362" t="s">
        <v>294</v>
      </c>
      <c r="BC82" s="362" t="s">
        <v>294</v>
      </c>
      <c r="BD82" s="362" t="s">
        <v>294</v>
      </c>
      <c r="BE82" s="362" t="s">
        <v>294</v>
      </c>
      <c r="BF82" s="362" t="s">
        <v>294</v>
      </c>
      <c r="BG82" s="362" t="s">
        <v>294</v>
      </c>
      <c r="BH82" s="362" t="s">
        <v>294</v>
      </c>
      <c r="BI82" s="362" t="s">
        <v>294</v>
      </c>
      <c r="BJ82" s="362" t="s">
        <v>294</v>
      </c>
      <c r="BK82" s="362" t="s">
        <v>294</v>
      </c>
      <c r="BL82" s="362" t="s">
        <v>294</v>
      </c>
      <c r="BM82" s="362" t="s">
        <v>294</v>
      </c>
      <c r="BN82" s="362" t="s">
        <v>294</v>
      </c>
      <c r="BO82" s="362" t="s">
        <v>294</v>
      </c>
      <c r="BP82" s="362" t="s">
        <v>294</v>
      </c>
      <c r="BQ82" s="362" t="s">
        <v>294</v>
      </c>
      <c r="BR82" s="362" t="s">
        <v>294</v>
      </c>
      <c r="BS82" s="362" t="s">
        <v>294</v>
      </c>
      <c r="BT82" s="362" t="s">
        <v>294</v>
      </c>
      <c r="BU82" s="362" t="s">
        <v>294</v>
      </c>
      <c r="BV82" s="362" t="s">
        <v>294</v>
      </c>
      <c r="BW82" s="362" t="s">
        <v>294</v>
      </c>
      <c r="BX82" s="362" t="s">
        <v>294</v>
      </c>
      <c r="BY82" s="362" t="s">
        <v>294</v>
      </c>
      <c r="BZ82" s="362" t="s">
        <v>294</v>
      </c>
      <c r="CA82" s="362">
        <v>1.8</v>
      </c>
      <c r="CB82" s="362" t="s">
        <v>254</v>
      </c>
      <c r="CC82" s="362" t="s">
        <v>294</v>
      </c>
      <c r="CD82" s="362">
        <v>5.2999999999999999E-2</v>
      </c>
      <c r="CE82" s="362" t="s">
        <v>254</v>
      </c>
      <c r="CF82" s="362">
        <v>4.7</v>
      </c>
      <c r="CG82" s="362" t="s">
        <v>294</v>
      </c>
      <c r="CH82" s="362" t="s">
        <v>294</v>
      </c>
      <c r="CI82" s="362">
        <v>26</v>
      </c>
      <c r="CJ82" s="362" t="s">
        <v>254</v>
      </c>
      <c r="CK82" s="362" t="s">
        <v>294</v>
      </c>
      <c r="CL82" s="362">
        <v>5.9</v>
      </c>
      <c r="CM82" s="362" t="s">
        <v>294</v>
      </c>
      <c r="CN82" s="362" t="s">
        <v>288</v>
      </c>
      <c r="CO82" s="362" t="s">
        <v>259</v>
      </c>
      <c r="CP82" s="362">
        <v>1.1000000000000001</v>
      </c>
      <c r="CQ82" s="362" t="s">
        <v>254</v>
      </c>
      <c r="CR82" s="362" t="s">
        <v>254</v>
      </c>
      <c r="CS82" s="362" t="s">
        <v>294</v>
      </c>
      <c r="CT82" s="362" t="s">
        <v>284</v>
      </c>
      <c r="CU82" s="362" t="s">
        <v>294</v>
      </c>
      <c r="CV82" s="362" t="s">
        <v>294</v>
      </c>
      <c r="CW82" s="362" t="s">
        <v>294</v>
      </c>
      <c r="CX82" s="362" t="s">
        <v>294</v>
      </c>
      <c r="CY82" s="362" t="s">
        <v>294</v>
      </c>
      <c r="CZ82" s="362" t="s">
        <v>294</v>
      </c>
      <c r="DA82" s="362" t="s">
        <v>294</v>
      </c>
      <c r="DB82" s="362" t="s">
        <v>294</v>
      </c>
      <c r="DC82" s="362" t="s">
        <v>294</v>
      </c>
      <c r="DD82" s="362" t="s">
        <v>294</v>
      </c>
      <c r="DE82" s="362" t="s">
        <v>294</v>
      </c>
      <c r="DF82" s="362" t="s">
        <v>294</v>
      </c>
      <c r="DG82" s="362" t="s">
        <v>294</v>
      </c>
      <c r="DH82" s="362" t="s">
        <v>294</v>
      </c>
      <c r="DI82" s="362" t="s">
        <v>294</v>
      </c>
      <c r="DJ82" s="362" t="s">
        <v>294</v>
      </c>
      <c r="DK82" s="362" t="s">
        <v>294</v>
      </c>
      <c r="DL82" s="362" t="s">
        <v>294</v>
      </c>
      <c r="DM82" s="362" t="s">
        <v>294</v>
      </c>
      <c r="DN82" s="362" t="s">
        <v>294</v>
      </c>
      <c r="DO82" s="362" t="s">
        <v>294</v>
      </c>
      <c r="DP82" s="362" t="s">
        <v>294</v>
      </c>
      <c r="DQ82" s="362" t="s">
        <v>294</v>
      </c>
    </row>
    <row r="83" spans="1:121" x14ac:dyDescent="0.25">
      <c r="A83" s="362" t="s">
        <v>370</v>
      </c>
      <c r="B83" s="56" t="str">
        <f>VLOOKUP(Table3[[#This Row],[Station]], StationName, 2, FALSE)</f>
        <v>L02-166-3 (L02P26)</v>
      </c>
      <c r="C83" s="362">
        <v>1756005</v>
      </c>
      <c r="D83" s="221">
        <v>44350.365972222222</v>
      </c>
      <c r="E83" s="362" t="s">
        <v>283</v>
      </c>
      <c r="F83" s="362">
        <v>62</v>
      </c>
      <c r="G83" s="362">
        <v>85</v>
      </c>
      <c r="H83" s="362">
        <v>98</v>
      </c>
      <c r="I83" s="362">
        <v>88</v>
      </c>
      <c r="J83" s="362">
        <v>47</v>
      </c>
      <c r="K83" s="362">
        <v>65</v>
      </c>
      <c r="L83" s="362">
        <v>76</v>
      </c>
      <c r="M83" s="362">
        <v>72</v>
      </c>
      <c r="N83" s="362">
        <v>51</v>
      </c>
      <c r="O83" s="362" t="s">
        <v>259</v>
      </c>
      <c r="P83" s="362" t="s">
        <v>259</v>
      </c>
      <c r="Q83" s="362" t="s">
        <v>259</v>
      </c>
      <c r="R83" s="362" t="s">
        <v>259</v>
      </c>
      <c r="S83" s="362" t="s">
        <v>259</v>
      </c>
      <c r="T83" s="362" t="s">
        <v>259</v>
      </c>
      <c r="U83" s="362" t="s">
        <v>256</v>
      </c>
      <c r="V83" s="362" t="s">
        <v>256</v>
      </c>
      <c r="W83" s="362" t="s">
        <v>256</v>
      </c>
      <c r="X83" s="362" t="s">
        <v>256</v>
      </c>
      <c r="Y83" s="362" t="s">
        <v>284</v>
      </c>
      <c r="Z83" s="362" t="s">
        <v>256</v>
      </c>
      <c r="AA83" s="362" t="s">
        <v>256</v>
      </c>
      <c r="AB83" s="362" t="s">
        <v>256</v>
      </c>
      <c r="AC83" s="362" t="s">
        <v>256</v>
      </c>
      <c r="AD83" s="362" t="s">
        <v>256</v>
      </c>
      <c r="AE83" s="362" t="s">
        <v>256</v>
      </c>
      <c r="AF83" s="362" t="s">
        <v>256</v>
      </c>
      <c r="AG83" s="362" t="s">
        <v>256</v>
      </c>
      <c r="AH83" s="362" t="s">
        <v>256</v>
      </c>
      <c r="AI83" s="362" t="s">
        <v>256</v>
      </c>
      <c r="AJ83" s="362" t="s">
        <v>248</v>
      </c>
      <c r="AK83" s="362" t="s">
        <v>259</v>
      </c>
      <c r="AL83" s="362" t="s">
        <v>259</v>
      </c>
      <c r="AM83" s="362" t="s">
        <v>251</v>
      </c>
      <c r="AN83" s="362" t="s">
        <v>256</v>
      </c>
      <c r="AO83" s="362" t="s">
        <v>259</v>
      </c>
      <c r="AP83" s="362" t="s">
        <v>251</v>
      </c>
      <c r="AQ83" s="362" t="s">
        <v>256</v>
      </c>
      <c r="AR83" s="362" t="s">
        <v>256</v>
      </c>
      <c r="AS83" s="362" t="s">
        <v>285</v>
      </c>
      <c r="AT83" s="362" t="s">
        <v>259</v>
      </c>
      <c r="AU83" s="362" t="s">
        <v>284</v>
      </c>
      <c r="AV83" s="362" t="s">
        <v>259</v>
      </c>
      <c r="AW83" s="362" t="s">
        <v>256</v>
      </c>
      <c r="AX83" s="362" t="s">
        <v>256</v>
      </c>
      <c r="AY83" s="362" t="s">
        <v>256</v>
      </c>
      <c r="AZ83" s="362" t="s">
        <v>256</v>
      </c>
      <c r="BA83" s="362" t="s">
        <v>256</v>
      </c>
      <c r="BB83" s="362" t="s">
        <v>259</v>
      </c>
      <c r="BC83" s="362" t="s">
        <v>286</v>
      </c>
      <c r="BD83" s="362" t="s">
        <v>248</v>
      </c>
      <c r="BE83" s="362" t="s">
        <v>259</v>
      </c>
      <c r="BF83" s="362" t="s">
        <v>248</v>
      </c>
      <c r="BG83" s="362">
        <v>1.96</v>
      </c>
      <c r="BH83" s="362" t="s">
        <v>256</v>
      </c>
      <c r="BI83" s="362" t="s">
        <v>256</v>
      </c>
      <c r="BJ83" s="362" t="s">
        <v>256</v>
      </c>
      <c r="BK83" s="362" t="s">
        <v>256</v>
      </c>
      <c r="BL83" s="362" t="s">
        <v>256</v>
      </c>
      <c r="BM83" s="362" t="s">
        <v>259</v>
      </c>
      <c r="BN83" s="362" t="s">
        <v>256</v>
      </c>
      <c r="BO83" s="362" t="s">
        <v>259</v>
      </c>
      <c r="BP83" s="362" t="s">
        <v>284</v>
      </c>
      <c r="BQ83" s="362" t="s">
        <v>256</v>
      </c>
      <c r="BR83" s="362" t="s">
        <v>256</v>
      </c>
      <c r="BS83" s="362">
        <v>1.93</v>
      </c>
      <c r="BT83" s="362" t="s">
        <v>284</v>
      </c>
      <c r="BU83" s="362">
        <v>4.9400000000000004</v>
      </c>
      <c r="BV83" s="362" t="s">
        <v>248</v>
      </c>
      <c r="BW83" s="362" t="s">
        <v>285</v>
      </c>
      <c r="BX83" s="362" t="s">
        <v>287</v>
      </c>
      <c r="BY83" s="362" t="s">
        <v>259</v>
      </c>
      <c r="BZ83" s="362" t="s">
        <v>259</v>
      </c>
      <c r="CA83" s="362">
        <v>2.9</v>
      </c>
      <c r="CB83" s="362" t="s">
        <v>254</v>
      </c>
      <c r="CC83" s="362">
        <v>114</v>
      </c>
      <c r="CD83" s="362">
        <v>8.4000000000000005E-2</v>
      </c>
      <c r="CE83" s="362">
        <v>0.24</v>
      </c>
      <c r="CF83" s="362">
        <v>5.9</v>
      </c>
      <c r="CG83" s="362">
        <v>6</v>
      </c>
      <c r="CH83" s="362">
        <v>436</v>
      </c>
      <c r="CI83" s="362">
        <v>75</v>
      </c>
      <c r="CJ83" s="362" t="s">
        <v>254</v>
      </c>
      <c r="CK83" s="362">
        <v>36.6</v>
      </c>
      <c r="CL83" s="362">
        <v>13</v>
      </c>
      <c r="CM83" s="362" t="s">
        <v>288</v>
      </c>
      <c r="CN83" s="362" t="s">
        <v>288</v>
      </c>
      <c r="CO83" s="362" t="s">
        <v>259</v>
      </c>
      <c r="CP83" s="362">
        <v>1.5</v>
      </c>
      <c r="CQ83" s="362" t="s">
        <v>254</v>
      </c>
      <c r="CR83" s="362" t="s">
        <v>254</v>
      </c>
      <c r="CS83" s="362">
        <v>7.9</v>
      </c>
      <c r="CT83" s="362" t="s">
        <v>284</v>
      </c>
      <c r="CU83" s="362" t="s">
        <v>153</v>
      </c>
      <c r="CV83" s="362">
        <v>150</v>
      </c>
      <c r="CW83" s="362">
        <v>1.1000000000000001</v>
      </c>
      <c r="CX83" s="362">
        <v>0.72</v>
      </c>
      <c r="CY83" s="362">
        <v>0.24</v>
      </c>
      <c r="CZ83" s="362">
        <v>7.9</v>
      </c>
      <c r="DA83" s="362">
        <v>1.1000000000000001</v>
      </c>
      <c r="DB83" s="362">
        <v>1500</v>
      </c>
      <c r="DC83" s="362">
        <v>370</v>
      </c>
      <c r="DD83" s="362">
        <v>22.7</v>
      </c>
      <c r="DE83" s="362">
        <v>830</v>
      </c>
      <c r="DF83" s="362" t="s">
        <v>371</v>
      </c>
      <c r="DG83" s="362">
        <v>1.5</v>
      </c>
      <c r="DH83" s="362">
        <v>1.2</v>
      </c>
      <c r="DI83" s="362">
        <v>9500</v>
      </c>
      <c r="DJ83" s="362">
        <v>4900</v>
      </c>
      <c r="DK83" s="362" t="s">
        <v>372</v>
      </c>
      <c r="DL83" s="362" t="s">
        <v>360</v>
      </c>
      <c r="DM83" s="362">
        <v>8.61</v>
      </c>
      <c r="DN83" s="362">
        <v>7.91</v>
      </c>
      <c r="DO83" s="362">
        <v>1368.5</v>
      </c>
      <c r="DP83" s="362">
        <v>19.61</v>
      </c>
      <c r="DQ83" s="362">
        <v>1.1200000000000001</v>
      </c>
    </row>
    <row r="84" spans="1:121" hidden="1" x14ac:dyDescent="0.25">
      <c r="A84" s="362" t="s">
        <v>370</v>
      </c>
      <c r="B84" s="56" t="str">
        <f>VLOOKUP(Table3[[#This Row],[Station]], StationName, 2, FALSE)</f>
        <v>L02-166-3 (L02P26)</v>
      </c>
      <c r="C84" s="362">
        <v>1756010</v>
      </c>
      <c r="D84" s="221">
        <v>44350.365972222222</v>
      </c>
      <c r="E84" s="362" t="s">
        <v>293</v>
      </c>
      <c r="F84" s="362" t="s">
        <v>294</v>
      </c>
      <c r="G84" s="362" t="s">
        <v>294</v>
      </c>
      <c r="H84" s="362" t="s">
        <v>294</v>
      </c>
      <c r="I84" s="362" t="s">
        <v>294</v>
      </c>
      <c r="J84" s="362" t="s">
        <v>294</v>
      </c>
      <c r="K84" s="362" t="s">
        <v>294</v>
      </c>
      <c r="L84" s="362" t="s">
        <v>294</v>
      </c>
      <c r="M84" s="362" t="s">
        <v>294</v>
      </c>
      <c r="N84" s="362" t="s">
        <v>294</v>
      </c>
      <c r="O84" s="362" t="s">
        <v>294</v>
      </c>
      <c r="P84" s="362" t="s">
        <v>294</v>
      </c>
      <c r="Q84" s="362" t="s">
        <v>294</v>
      </c>
      <c r="R84" s="362" t="s">
        <v>294</v>
      </c>
      <c r="S84" s="362" t="s">
        <v>294</v>
      </c>
      <c r="T84" s="362" t="s">
        <v>294</v>
      </c>
      <c r="U84" s="362" t="s">
        <v>294</v>
      </c>
      <c r="V84" s="362" t="s">
        <v>294</v>
      </c>
      <c r="W84" s="362" t="s">
        <v>294</v>
      </c>
      <c r="X84" s="362" t="s">
        <v>294</v>
      </c>
      <c r="Y84" s="362" t="s">
        <v>294</v>
      </c>
      <c r="Z84" s="362" t="s">
        <v>294</v>
      </c>
      <c r="AA84" s="362" t="s">
        <v>294</v>
      </c>
      <c r="AB84" s="362" t="s">
        <v>294</v>
      </c>
      <c r="AC84" s="362" t="s">
        <v>294</v>
      </c>
      <c r="AD84" s="362" t="s">
        <v>294</v>
      </c>
      <c r="AE84" s="362" t="s">
        <v>294</v>
      </c>
      <c r="AF84" s="362" t="s">
        <v>294</v>
      </c>
      <c r="AG84" s="362" t="s">
        <v>294</v>
      </c>
      <c r="AH84" s="362" t="s">
        <v>294</v>
      </c>
      <c r="AI84" s="362" t="s">
        <v>294</v>
      </c>
      <c r="AJ84" s="362" t="s">
        <v>294</v>
      </c>
      <c r="AK84" s="362" t="s">
        <v>294</v>
      </c>
      <c r="AL84" s="362" t="s">
        <v>294</v>
      </c>
      <c r="AM84" s="362" t="s">
        <v>294</v>
      </c>
      <c r="AN84" s="362" t="s">
        <v>294</v>
      </c>
      <c r="AO84" s="362" t="s">
        <v>294</v>
      </c>
      <c r="AP84" s="362" t="s">
        <v>294</v>
      </c>
      <c r="AQ84" s="362" t="s">
        <v>294</v>
      </c>
      <c r="AR84" s="362" t="s">
        <v>294</v>
      </c>
      <c r="AS84" s="362" t="s">
        <v>294</v>
      </c>
      <c r="AT84" s="362" t="s">
        <v>294</v>
      </c>
      <c r="AU84" s="362" t="s">
        <v>294</v>
      </c>
      <c r="AV84" s="362" t="s">
        <v>294</v>
      </c>
      <c r="AW84" s="362" t="s">
        <v>294</v>
      </c>
      <c r="AX84" s="362" t="s">
        <v>294</v>
      </c>
      <c r="AY84" s="362" t="s">
        <v>294</v>
      </c>
      <c r="AZ84" s="362" t="s">
        <v>294</v>
      </c>
      <c r="BA84" s="362" t="s">
        <v>294</v>
      </c>
      <c r="BB84" s="362" t="s">
        <v>294</v>
      </c>
      <c r="BC84" s="362" t="s">
        <v>294</v>
      </c>
      <c r="BD84" s="362" t="s">
        <v>294</v>
      </c>
      <c r="BE84" s="362" t="s">
        <v>294</v>
      </c>
      <c r="BF84" s="362" t="s">
        <v>294</v>
      </c>
      <c r="BG84" s="362" t="s">
        <v>294</v>
      </c>
      <c r="BH84" s="362" t="s">
        <v>294</v>
      </c>
      <c r="BI84" s="362" t="s">
        <v>294</v>
      </c>
      <c r="BJ84" s="362" t="s">
        <v>294</v>
      </c>
      <c r="BK84" s="362" t="s">
        <v>294</v>
      </c>
      <c r="BL84" s="362" t="s">
        <v>294</v>
      </c>
      <c r="BM84" s="362" t="s">
        <v>294</v>
      </c>
      <c r="BN84" s="362" t="s">
        <v>294</v>
      </c>
      <c r="BO84" s="362" t="s">
        <v>294</v>
      </c>
      <c r="BP84" s="362" t="s">
        <v>294</v>
      </c>
      <c r="BQ84" s="362" t="s">
        <v>294</v>
      </c>
      <c r="BR84" s="362" t="s">
        <v>294</v>
      </c>
      <c r="BS84" s="362" t="s">
        <v>294</v>
      </c>
      <c r="BT84" s="362" t="s">
        <v>294</v>
      </c>
      <c r="BU84" s="362" t="s">
        <v>294</v>
      </c>
      <c r="BV84" s="362" t="s">
        <v>294</v>
      </c>
      <c r="BW84" s="362" t="s">
        <v>294</v>
      </c>
      <c r="BX84" s="362" t="s">
        <v>294</v>
      </c>
      <c r="BY84" s="362" t="s">
        <v>294</v>
      </c>
      <c r="BZ84" s="362" t="s">
        <v>294</v>
      </c>
      <c r="CA84" s="362">
        <v>2.9</v>
      </c>
      <c r="CB84" s="362" t="s">
        <v>254</v>
      </c>
      <c r="CC84" s="362" t="s">
        <v>294</v>
      </c>
      <c r="CD84" s="362">
        <v>0.1</v>
      </c>
      <c r="CE84" s="362" t="s">
        <v>254</v>
      </c>
      <c r="CF84" s="362">
        <v>5.0999999999999996</v>
      </c>
      <c r="CG84" s="362" t="s">
        <v>294</v>
      </c>
      <c r="CH84" s="362" t="s">
        <v>294</v>
      </c>
      <c r="CI84" s="362" t="s">
        <v>286</v>
      </c>
      <c r="CJ84" s="362" t="s">
        <v>254</v>
      </c>
      <c r="CK84" s="362" t="s">
        <v>294</v>
      </c>
      <c r="CL84" s="362">
        <v>11</v>
      </c>
      <c r="CM84" s="362" t="s">
        <v>294</v>
      </c>
      <c r="CN84" s="362" t="s">
        <v>288</v>
      </c>
      <c r="CO84" s="362" t="s">
        <v>259</v>
      </c>
      <c r="CP84" s="362">
        <v>1.6</v>
      </c>
      <c r="CQ84" s="362" t="s">
        <v>254</v>
      </c>
      <c r="CR84" s="362" t="s">
        <v>254</v>
      </c>
      <c r="CS84" s="362" t="s">
        <v>294</v>
      </c>
      <c r="CT84" s="362" t="s">
        <v>284</v>
      </c>
      <c r="CU84" s="362" t="s">
        <v>294</v>
      </c>
      <c r="CV84" s="362" t="s">
        <v>294</v>
      </c>
      <c r="CW84" s="362" t="s">
        <v>294</v>
      </c>
      <c r="CX84" s="362" t="s">
        <v>294</v>
      </c>
      <c r="CY84" s="362" t="s">
        <v>294</v>
      </c>
      <c r="CZ84" s="362" t="s">
        <v>294</v>
      </c>
      <c r="DA84" s="362" t="s">
        <v>294</v>
      </c>
      <c r="DB84" s="362" t="s">
        <v>294</v>
      </c>
      <c r="DC84" s="362" t="s">
        <v>294</v>
      </c>
      <c r="DD84" s="362" t="s">
        <v>294</v>
      </c>
      <c r="DE84" s="362" t="s">
        <v>294</v>
      </c>
      <c r="DF84" s="362" t="s">
        <v>294</v>
      </c>
      <c r="DG84" s="362" t="s">
        <v>294</v>
      </c>
      <c r="DH84" s="362" t="s">
        <v>294</v>
      </c>
      <c r="DI84" s="362" t="s">
        <v>294</v>
      </c>
      <c r="DJ84" s="362" t="s">
        <v>294</v>
      </c>
      <c r="DK84" s="362" t="s">
        <v>294</v>
      </c>
      <c r="DL84" s="362" t="s">
        <v>294</v>
      </c>
      <c r="DM84" s="362" t="s">
        <v>294</v>
      </c>
      <c r="DN84" s="362" t="s">
        <v>294</v>
      </c>
      <c r="DO84" s="362" t="s">
        <v>294</v>
      </c>
      <c r="DP84" s="362" t="s">
        <v>294</v>
      </c>
      <c r="DQ84" s="362" t="s">
        <v>294</v>
      </c>
    </row>
    <row r="85" spans="1:121" x14ac:dyDescent="0.25">
      <c r="A85" s="362" t="s">
        <v>154</v>
      </c>
      <c r="B85" s="56" t="str">
        <f>VLOOKUP(Table3[[#This Row],[Station]], StationName, 2, FALSE)</f>
        <v>L02-641-2</v>
      </c>
      <c r="C85" s="362">
        <v>1756003</v>
      </c>
      <c r="D85" s="221">
        <v>44350.412499999999</v>
      </c>
      <c r="E85" s="362" t="s">
        <v>283</v>
      </c>
      <c r="F85" s="362">
        <v>63</v>
      </c>
      <c r="G85" s="362">
        <v>85</v>
      </c>
      <c r="H85" s="362">
        <v>96</v>
      </c>
      <c r="I85" s="362">
        <v>87</v>
      </c>
      <c r="J85" s="362">
        <v>46</v>
      </c>
      <c r="K85" s="362">
        <v>67</v>
      </c>
      <c r="L85" s="362">
        <v>80</v>
      </c>
      <c r="M85" s="362">
        <v>83</v>
      </c>
      <c r="N85" s="362">
        <v>54</v>
      </c>
      <c r="O85" s="362" t="s">
        <v>259</v>
      </c>
      <c r="P85" s="362" t="s">
        <v>259</v>
      </c>
      <c r="Q85" s="362" t="s">
        <v>259</v>
      </c>
      <c r="R85" s="362" t="s">
        <v>259</v>
      </c>
      <c r="S85" s="362" t="s">
        <v>259</v>
      </c>
      <c r="T85" s="362" t="s">
        <v>259</v>
      </c>
      <c r="U85" s="362" t="s">
        <v>256</v>
      </c>
      <c r="V85" s="362" t="s">
        <v>256</v>
      </c>
      <c r="W85" s="362" t="s">
        <v>256</v>
      </c>
      <c r="X85" s="362" t="s">
        <v>256</v>
      </c>
      <c r="Y85" s="362" t="s">
        <v>284</v>
      </c>
      <c r="Z85" s="362" t="s">
        <v>256</v>
      </c>
      <c r="AA85" s="362" t="s">
        <v>256</v>
      </c>
      <c r="AB85" s="362" t="s">
        <v>256</v>
      </c>
      <c r="AC85" s="362" t="s">
        <v>256</v>
      </c>
      <c r="AD85" s="362" t="s">
        <v>256</v>
      </c>
      <c r="AE85" s="362" t="s">
        <v>256</v>
      </c>
      <c r="AF85" s="362" t="s">
        <v>256</v>
      </c>
      <c r="AG85" s="362" t="s">
        <v>256</v>
      </c>
      <c r="AH85" s="362" t="s">
        <v>256</v>
      </c>
      <c r="AI85" s="362" t="s">
        <v>256</v>
      </c>
      <c r="AJ85" s="362" t="s">
        <v>248</v>
      </c>
      <c r="AK85" s="362" t="s">
        <v>259</v>
      </c>
      <c r="AL85" s="362" t="s">
        <v>259</v>
      </c>
      <c r="AM85" s="362" t="s">
        <v>251</v>
      </c>
      <c r="AN85" s="362" t="s">
        <v>256</v>
      </c>
      <c r="AO85" s="362" t="s">
        <v>259</v>
      </c>
      <c r="AP85" s="362" t="s">
        <v>251</v>
      </c>
      <c r="AQ85" s="362" t="s">
        <v>256</v>
      </c>
      <c r="AR85" s="362" t="s">
        <v>256</v>
      </c>
      <c r="AS85" s="362" t="s">
        <v>285</v>
      </c>
      <c r="AT85" s="362" t="s">
        <v>259</v>
      </c>
      <c r="AU85" s="362" t="s">
        <v>284</v>
      </c>
      <c r="AV85" s="362" t="s">
        <v>259</v>
      </c>
      <c r="AW85" s="362" t="s">
        <v>256</v>
      </c>
      <c r="AX85" s="362" t="s">
        <v>256</v>
      </c>
      <c r="AY85" s="362" t="s">
        <v>256</v>
      </c>
      <c r="AZ85" s="362" t="s">
        <v>256</v>
      </c>
      <c r="BA85" s="362" t="s">
        <v>256</v>
      </c>
      <c r="BB85" s="362" t="s">
        <v>259</v>
      </c>
      <c r="BC85" s="362" t="s">
        <v>286</v>
      </c>
      <c r="BD85" s="362" t="s">
        <v>248</v>
      </c>
      <c r="BE85" s="362" t="s">
        <v>259</v>
      </c>
      <c r="BF85" s="362" t="s">
        <v>248</v>
      </c>
      <c r="BG85" s="362">
        <v>1.58</v>
      </c>
      <c r="BH85" s="362" t="s">
        <v>256</v>
      </c>
      <c r="BI85" s="362" t="s">
        <v>256</v>
      </c>
      <c r="BJ85" s="362" t="s">
        <v>256</v>
      </c>
      <c r="BK85" s="362" t="s">
        <v>256</v>
      </c>
      <c r="BL85" s="362" t="s">
        <v>256</v>
      </c>
      <c r="BM85" s="362" t="s">
        <v>259</v>
      </c>
      <c r="BN85" s="362" t="s">
        <v>256</v>
      </c>
      <c r="BO85" s="362" t="s">
        <v>259</v>
      </c>
      <c r="BP85" s="362" t="s">
        <v>284</v>
      </c>
      <c r="BQ85" s="362" t="s">
        <v>256</v>
      </c>
      <c r="BR85" s="362" t="s">
        <v>256</v>
      </c>
      <c r="BS85" s="362">
        <v>2.06</v>
      </c>
      <c r="BT85" s="362" t="s">
        <v>284</v>
      </c>
      <c r="BU85" s="362">
        <v>2.11</v>
      </c>
      <c r="BV85" s="362" t="s">
        <v>248</v>
      </c>
      <c r="BW85" s="362" t="s">
        <v>285</v>
      </c>
      <c r="BX85" s="362" t="s">
        <v>287</v>
      </c>
      <c r="BY85" s="362" t="s">
        <v>259</v>
      </c>
      <c r="BZ85" s="362" t="s">
        <v>259</v>
      </c>
      <c r="CA85" s="362">
        <v>2.1</v>
      </c>
      <c r="CB85" s="362" t="s">
        <v>254</v>
      </c>
      <c r="CC85" s="362">
        <v>114</v>
      </c>
      <c r="CD85" s="362">
        <v>7.0000000000000007E-2</v>
      </c>
      <c r="CE85" s="362">
        <v>0.23</v>
      </c>
      <c r="CF85" s="362">
        <v>11</v>
      </c>
      <c r="CG85" s="362">
        <v>8.3000000000000007</v>
      </c>
      <c r="CH85" s="362">
        <v>435</v>
      </c>
      <c r="CI85" s="362">
        <v>170</v>
      </c>
      <c r="CJ85" s="362" t="s">
        <v>254</v>
      </c>
      <c r="CK85" s="362">
        <v>36.299999999999997</v>
      </c>
      <c r="CL85" s="362">
        <v>11</v>
      </c>
      <c r="CM85" s="362">
        <v>0.06</v>
      </c>
      <c r="CN85" s="362" t="s">
        <v>288</v>
      </c>
      <c r="CO85" s="362" t="s">
        <v>259</v>
      </c>
      <c r="CP85" s="362">
        <v>1.1000000000000001</v>
      </c>
      <c r="CQ85" s="362" t="s">
        <v>254</v>
      </c>
      <c r="CR85" s="362" t="s">
        <v>254</v>
      </c>
      <c r="CS85" s="362">
        <v>9.1999999999999993</v>
      </c>
      <c r="CT85" s="362" t="s">
        <v>284</v>
      </c>
      <c r="CU85" s="362" t="s">
        <v>153</v>
      </c>
      <c r="CV85" s="362">
        <v>210</v>
      </c>
      <c r="CW85" s="362">
        <v>1.5</v>
      </c>
      <c r="CX85" s="362">
        <v>1</v>
      </c>
      <c r="CY85" s="362">
        <v>0.4</v>
      </c>
      <c r="CZ85" s="362">
        <v>8.2200000000000006</v>
      </c>
      <c r="DA85" s="362">
        <v>1.9</v>
      </c>
      <c r="DB85" s="362">
        <v>1700</v>
      </c>
      <c r="DC85" s="362">
        <v>320</v>
      </c>
      <c r="DD85" s="362">
        <v>22.7</v>
      </c>
      <c r="DE85" s="362">
        <v>930</v>
      </c>
      <c r="DF85" s="362" t="s">
        <v>289</v>
      </c>
      <c r="DG85" s="362">
        <v>1</v>
      </c>
      <c r="DH85" s="362">
        <v>0.98</v>
      </c>
      <c r="DI85" s="362">
        <v>4200</v>
      </c>
      <c r="DJ85" s="362">
        <v>5400</v>
      </c>
      <c r="DK85" s="362">
        <v>3900</v>
      </c>
      <c r="DL85" s="362" t="s">
        <v>373</v>
      </c>
      <c r="DM85" s="362">
        <v>8.93</v>
      </c>
      <c r="DN85" s="362">
        <v>8.3800000000000008</v>
      </c>
      <c r="DO85" s="362">
        <v>1550.5</v>
      </c>
      <c r="DP85" s="362">
        <v>18.89</v>
      </c>
      <c r="DQ85" s="362">
        <v>1.1499999999999999</v>
      </c>
    </row>
    <row r="86" spans="1:121" hidden="1" x14ac:dyDescent="0.25">
      <c r="A86" s="362" t="s">
        <v>154</v>
      </c>
      <c r="B86" s="56" t="str">
        <f>VLOOKUP(Table3[[#This Row],[Station]], StationName, 2, FALSE)</f>
        <v>L02-641-2</v>
      </c>
      <c r="C86" s="362">
        <v>1756008</v>
      </c>
      <c r="D86" s="221">
        <v>44350.412499999999</v>
      </c>
      <c r="E86" s="362" t="s">
        <v>293</v>
      </c>
      <c r="F86" s="362" t="s">
        <v>294</v>
      </c>
      <c r="G86" s="362" t="s">
        <v>294</v>
      </c>
      <c r="H86" s="362" t="s">
        <v>294</v>
      </c>
      <c r="I86" s="362" t="s">
        <v>294</v>
      </c>
      <c r="J86" s="362" t="s">
        <v>294</v>
      </c>
      <c r="K86" s="362" t="s">
        <v>294</v>
      </c>
      <c r="L86" s="362" t="s">
        <v>294</v>
      </c>
      <c r="M86" s="362" t="s">
        <v>294</v>
      </c>
      <c r="N86" s="362" t="s">
        <v>294</v>
      </c>
      <c r="O86" s="362" t="s">
        <v>294</v>
      </c>
      <c r="P86" s="362" t="s">
        <v>294</v>
      </c>
      <c r="Q86" s="362" t="s">
        <v>294</v>
      </c>
      <c r="R86" s="362" t="s">
        <v>294</v>
      </c>
      <c r="S86" s="362" t="s">
        <v>294</v>
      </c>
      <c r="T86" s="362" t="s">
        <v>294</v>
      </c>
      <c r="U86" s="362" t="s">
        <v>294</v>
      </c>
      <c r="V86" s="362" t="s">
        <v>294</v>
      </c>
      <c r="W86" s="362" t="s">
        <v>294</v>
      </c>
      <c r="X86" s="362" t="s">
        <v>294</v>
      </c>
      <c r="Y86" s="362" t="s">
        <v>294</v>
      </c>
      <c r="Z86" s="362" t="s">
        <v>294</v>
      </c>
      <c r="AA86" s="362" t="s">
        <v>294</v>
      </c>
      <c r="AB86" s="362" t="s">
        <v>294</v>
      </c>
      <c r="AC86" s="362" t="s">
        <v>294</v>
      </c>
      <c r="AD86" s="362" t="s">
        <v>294</v>
      </c>
      <c r="AE86" s="362" t="s">
        <v>294</v>
      </c>
      <c r="AF86" s="362" t="s">
        <v>294</v>
      </c>
      <c r="AG86" s="362" t="s">
        <v>294</v>
      </c>
      <c r="AH86" s="362" t="s">
        <v>294</v>
      </c>
      <c r="AI86" s="362" t="s">
        <v>294</v>
      </c>
      <c r="AJ86" s="362" t="s">
        <v>294</v>
      </c>
      <c r="AK86" s="362" t="s">
        <v>294</v>
      </c>
      <c r="AL86" s="362" t="s">
        <v>294</v>
      </c>
      <c r="AM86" s="362" t="s">
        <v>294</v>
      </c>
      <c r="AN86" s="362" t="s">
        <v>294</v>
      </c>
      <c r="AO86" s="362" t="s">
        <v>294</v>
      </c>
      <c r="AP86" s="362" t="s">
        <v>294</v>
      </c>
      <c r="AQ86" s="362" t="s">
        <v>294</v>
      </c>
      <c r="AR86" s="362" t="s">
        <v>294</v>
      </c>
      <c r="AS86" s="362" t="s">
        <v>294</v>
      </c>
      <c r="AT86" s="362" t="s">
        <v>294</v>
      </c>
      <c r="AU86" s="362" t="s">
        <v>294</v>
      </c>
      <c r="AV86" s="362" t="s">
        <v>294</v>
      </c>
      <c r="AW86" s="362" t="s">
        <v>294</v>
      </c>
      <c r="AX86" s="362" t="s">
        <v>294</v>
      </c>
      <c r="AY86" s="362" t="s">
        <v>294</v>
      </c>
      <c r="AZ86" s="362" t="s">
        <v>294</v>
      </c>
      <c r="BA86" s="362" t="s">
        <v>294</v>
      </c>
      <c r="BB86" s="362" t="s">
        <v>294</v>
      </c>
      <c r="BC86" s="362" t="s">
        <v>294</v>
      </c>
      <c r="BD86" s="362" t="s">
        <v>294</v>
      </c>
      <c r="BE86" s="362" t="s">
        <v>294</v>
      </c>
      <c r="BF86" s="362" t="s">
        <v>294</v>
      </c>
      <c r="BG86" s="362" t="s">
        <v>294</v>
      </c>
      <c r="BH86" s="362" t="s">
        <v>294</v>
      </c>
      <c r="BI86" s="362" t="s">
        <v>294</v>
      </c>
      <c r="BJ86" s="362" t="s">
        <v>294</v>
      </c>
      <c r="BK86" s="362" t="s">
        <v>294</v>
      </c>
      <c r="BL86" s="362" t="s">
        <v>294</v>
      </c>
      <c r="BM86" s="362" t="s">
        <v>294</v>
      </c>
      <c r="BN86" s="362" t="s">
        <v>294</v>
      </c>
      <c r="BO86" s="362" t="s">
        <v>294</v>
      </c>
      <c r="BP86" s="362" t="s">
        <v>294</v>
      </c>
      <c r="BQ86" s="362" t="s">
        <v>294</v>
      </c>
      <c r="BR86" s="362" t="s">
        <v>294</v>
      </c>
      <c r="BS86" s="362" t="s">
        <v>294</v>
      </c>
      <c r="BT86" s="362" t="s">
        <v>294</v>
      </c>
      <c r="BU86" s="362" t="s">
        <v>294</v>
      </c>
      <c r="BV86" s="362" t="s">
        <v>294</v>
      </c>
      <c r="BW86" s="362" t="s">
        <v>294</v>
      </c>
      <c r="BX86" s="362" t="s">
        <v>294</v>
      </c>
      <c r="BY86" s="362" t="s">
        <v>294</v>
      </c>
      <c r="BZ86" s="362" t="s">
        <v>294</v>
      </c>
      <c r="CA86" s="362">
        <v>2.1</v>
      </c>
      <c r="CB86" s="362" t="s">
        <v>254</v>
      </c>
      <c r="CC86" s="362" t="s">
        <v>294</v>
      </c>
      <c r="CD86" s="362">
        <v>6.9000000000000006E-2</v>
      </c>
      <c r="CE86" s="362" t="s">
        <v>254</v>
      </c>
      <c r="CF86" s="362">
        <v>9.5</v>
      </c>
      <c r="CG86" s="362" t="s">
        <v>294</v>
      </c>
      <c r="CH86" s="362" t="s">
        <v>294</v>
      </c>
      <c r="CI86" s="362">
        <v>93</v>
      </c>
      <c r="CJ86" s="362" t="s">
        <v>254</v>
      </c>
      <c r="CK86" s="362" t="s">
        <v>294</v>
      </c>
      <c r="CL86" s="362">
        <v>2.6</v>
      </c>
      <c r="CM86" s="362" t="s">
        <v>294</v>
      </c>
      <c r="CN86" s="362" t="s">
        <v>288</v>
      </c>
      <c r="CO86" s="362" t="s">
        <v>259</v>
      </c>
      <c r="CP86" s="362">
        <v>1.1000000000000001</v>
      </c>
      <c r="CQ86" s="362" t="s">
        <v>254</v>
      </c>
      <c r="CR86" s="362" t="s">
        <v>254</v>
      </c>
      <c r="CS86" s="362" t="s">
        <v>294</v>
      </c>
      <c r="CT86" s="362" t="s">
        <v>284</v>
      </c>
      <c r="CU86" s="362" t="s">
        <v>294</v>
      </c>
      <c r="CV86" s="362" t="s">
        <v>294</v>
      </c>
      <c r="CW86" s="362" t="s">
        <v>294</v>
      </c>
      <c r="CX86" s="362" t="s">
        <v>294</v>
      </c>
      <c r="CY86" s="362" t="s">
        <v>294</v>
      </c>
      <c r="CZ86" s="362" t="s">
        <v>294</v>
      </c>
      <c r="DA86" s="362" t="s">
        <v>294</v>
      </c>
      <c r="DB86" s="362" t="s">
        <v>294</v>
      </c>
      <c r="DC86" s="362" t="s">
        <v>294</v>
      </c>
      <c r="DD86" s="362" t="s">
        <v>294</v>
      </c>
      <c r="DE86" s="362" t="s">
        <v>294</v>
      </c>
      <c r="DF86" s="362" t="s">
        <v>294</v>
      </c>
      <c r="DG86" s="362" t="s">
        <v>294</v>
      </c>
      <c r="DH86" s="362" t="s">
        <v>294</v>
      </c>
      <c r="DI86" s="362" t="s">
        <v>294</v>
      </c>
      <c r="DJ86" s="362" t="s">
        <v>294</v>
      </c>
      <c r="DK86" s="362" t="s">
        <v>294</v>
      </c>
      <c r="DL86" s="362" t="s">
        <v>294</v>
      </c>
      <c r="DM86" s="362" t="s">
        <v>294</v>
      </c>
      <c r="DN86" s="362" t="s">
        <v>294</v>
      </c>
      <c r="DO86" s="362" t="s">
        <v>294</v>
      </c>
      <c r="DP86" s="362" t="s">
        <v>294</v>
      </c>
      <c r="DQ86" s="362" t="s">
        <v>294</v>
      </c>
    </row>
    <row r="87" spans="1:121" x14ac:dyDescent="0.25">
      <c r="A87" s="362" t="s">
        <v>155</v>
      </c>
      <c r="B87" s="56" t="str">
        <f>VLOOKUP(Table3[[#This Row],[Station]], StationName, 2, FALSE)</f>
        <v>L02-641-1</v>
      </c>
      <c r="C87" s="362">
        <v>1756002</v>
      </c>
      <c r="D87" s="221">
        <v>44350.415277777778</v>
      </c>
      <c r="E87" s="362" t="s">
        <v>283</v>
      </c>
      <c r="F87" s="362">
        <v>61</v>
      </c>
      <c r="G87" s="362">
        <v>84</v>
      </c>
      <c r="H87" s="362">
        <v>93</v>
      </c>
      <c r="I87" s="362">
        <v>86</v>
      </c>
      <c r="J87" s="362">
        <v>45</v>
      </c>
      <c r="K87" s="362">
        <v>59</v>
      </c>
      <c r="L87" s="362">
        <v>74</v>
      </c>
      <c r="M87" s="362">
        <v>72</v>
      </c>
      <c r="N87" s="362">
        <v>48</v>
      </c>
      <c r="O87" s="362" t="s">
        <v>259</v>
      </c>
      <c r="P87" s="362" t="s">
        <v>259</v>
      </c>
      <c r="Q87" s="362" t="s">
        <v>259</v>
      </c>
      <c r="R87" s="362" t="s">
        <v>259</v>
      </c>
      <c r="S87" s="362" t="s">
        <v>259</v>
      </c>
      <c r="T87" s="362" t="s">
        <v>259</v>
      </c>
      <c r="U87" s="362" t="s">
        <v>256</v>
      </c>
      <c r="V87" s="362" t="s">
        <v>256</v>
      </c>
      <c r="W87" s="362" t="s">
        <v>256</v>
      </c>
      <c r="X87" s="362" t="s">
        <v>256</v>
      </c>
      <c r="Y87" s="362" t="s">
        <v>284</v>
      </c>
      <c r="Z87" s="362" t="s">
        <v>256</v>
      </c>
      <c r="AA87" s="362" t="s">
        <v>256</v>
      </c>
      <c r="AB87" s="362" t="s">
        <v>256</v>
      </c>
      <c r="AC87" s="362" t="s">
        <v>256</v>
      </c>
      <c r="AD87" s="362" t="s">
        <v>256</v>
      </c>
      <c r="AE87" s="362" t="s">
        <v>256</v>
      </c>
      <c r="AF87" s="362" t="s">
        <v>256</v>
      </c>
      <c r="AG87" s="362" t="s">
        <v>256</v>
      </c>
      <c r="AH87" s="362" t="s">
        <v>256</v>
      </c>
      <c r="AI87" s="362" t="s">
        <v>256</v>
      </c>
      <c r="AJ87" s="362" t="s">
        <v>248</v>
      </c>
      <c r="AK87" s="362" t="s">
        <v>259</v>
      </c>
      <c r="AL87" s="362" t="s">
        <v>259</v>
      </c>
      <c r="AM87" s="362" t="s">
        <v>251</v>
      </c>
      <c r="AN87" s="362" t="s">
        <v>256</v>
      </c>
      <c r="AO87" s="362" t="s">
        <v>259</v>
      </c>
      <c r="AP87" s="362" t="s">
        <v>251</v>
      </c>
      <c r="AQ87" s="362" t="s">
        <v>256</v>
      </c>
      <c r="AR87" s="362" t="s">
        <v>256</v>
      </c>
      <c r="AS87" s="362" t="s">
        <v>285</v>
      </c>
      <c r="AT87" s="362" t="s">
        <v>259</v>
      </c>
      <c r="AU87" s="362" t="s">
        <v>284</v>
      </c>
      <c r="AV87" s="362" t="s">
        <v>259</v>
      </c>
      <c r="AW87" s="362" t="s">
        <v>256</v>
      </c>
      <c r="AX87" s="362" t="s">
        <v>256</v>
      </c>
      <c r="AY87" s="362" t="s">
        <v>256</v>
      </c>
      <c r="AZ87" s="362" t="s">
        <v>256</v>
      </c>
      <c r="BA87" s="362" t="s">
        <v>256</v>
      </c>
      <c r="BB87" s="362" t="s">
        <v>259</v>
      </c>
      <c r="BC87" s="362" t="s">
        <v>286</v>
      </c>
      <c r="BD87" s="362" t="s">
        <v>248</v>
      </c>
      <c r="BE87" s="362" t="s">
        <v>259</v>
      </c>
      <c r="BF87" s="362" t="s">
        <v>248</v>
      </c>
      <c r="BG87" s="362">
        <v>2.0099999999999998</v>
      </c>
      <c r="BH87" s="362" t="s">
        <v>256</v>
      </c>
      <c r="BI87" s="362" t="s">
        <v>256</v>
      </c>
      <c r="BJ87" s="362" t="s">
        <v>256</v>
      </c>
      <c r="BK87" s="362" t="s">
        <v>256</v>
      </c>
      <c r="BL87" s="362" t="s">
        <v>256</v>
      </c>
      <c r="BM87" s="362" t="s">
        <v>259</v>
      </c>
      <c r="BN87" s="362" t="s">
        <v>256</v>
      </c>
      <c r="BO87" s="362" t="s">
        <v>259</v>
      </c>
      <c r="BP87" s="362" t="s">
        <v>284</v>
      </c>
      <c r="BQ87" s="362" t="s">
        <v>256</v>
      </c>
      <c r="BR87" s="362" t="s">
        <v>256</v>
      </c>
      <c r="BS87" s="362">
        <v>1.99</v>
      </c>
      <c r="BT87" s="362" t="s">
        <v>284</v>
      </c>
      <c r="BU87" s="362">
        <v>3.76</v>
      </c>
      <c r="BV87" s="362" t="s">
        <v>248</v>
      </c>
      <c r="BW87" s="362" t="s">
        <v>285</v>
      </c>
      <c r="BX87" s="362" t="s">
        <v>287</v>
      </c>
      <c r="BY87" s="362" t="s">
        <v>259</v>
      </c>
      <c r="BZ87" s="362" t="s">
        <v>259</v>
      </c>
      <c r="CA87" s="362">
        <v>1.6</v>
      </c>
      <c r="CB87" s="362" t="s">
        <v>254</v>
      </c>
      <c r="CC87" s="362">
        <v>107</v>
      </c>
      <c r="CD87" s="362">
        <v>0.46</v>
      </c>
      <c r="CE87" s="362">
        <v>0.63</v>
      </c>
      <c r="CF87" s="362">
        <v>6.8</v>
      </c>
      <c r="CG87" s="362">
        <v>7.7</v>
      </c>
      <c r="CH87" s="362">
        <v>417</v>
      </c>
      <c r="CI87" s="362">
        <v>90</v>
      </c>
      <c r="CJ87" s="362" t="s">
        <v>254</v>
      </c>
      <c r="CK87" s="362">
        <v>36.5</v>
      </c>
      <c r="CL87" s="362">
        <v>9.1</v>
      </c>
      <c r="CM87" s="362">
        <v>6.2E-2</v>
      </c>
      <c r="CN87" s="362" t="s">
        <v>288</v>
      </c>
      <c r="CO87" s="362" t="s">
        <v>259</v>
      </c>
      <c r="CP87" s="362">
        <v>1.1000000000000001</v>
      </c>
      <c r="CQ87" s="362" t="s">
        <v>254</v>
      </c>
      <c r="CR87" s="362" t="s">
        <v>254</v>
      </c>
      <c r="CS87" s="362">
        <v>9.8000000000000007</v>
      </c>
      <c r="CT87" s="362">
        <v>21</v>
      </c>
      <c r="CU87" s="362">
        <v>0.57999999999999996</v>
      </c>
      <c r="CV87" s="362">
        <v>160</v>
      </c>
      <c r="CW87" s="362">
        <v>3.1</v>
      </c>
      <c r="CX87" s="362">
        <v>1.7</v>
      </c>
      <c r="CY87" s="362">
        <v>0.26</v>
      </c>
      <c r="CZ87" s="362">
        <v>8.0299999999999994</v>
      </c>
      <c r="DA87" s="362">
        <v>1.4</v>
      </c>
      <c r="DB87" s="362">
        <v>1500</v>
      </c>
      <c r="DC87" s="362">
        <v>330</v>
      </c>
      <c r="DD87" s="362">
        <v>22.7</v>
      </c>
      <c r="DE87" s="362">
        <v>880</v>
      </c>
      <c r="DF87" s="362" t="s">
        <v>289</v>
      </c>
      <c r="DG87" s="362">
        <v>1.2</v>
      </c>
      <c r="DH87" s="362">
        <v>0.9</v>
      </c>
      <c r="DI87" s="362">
        <v>130000</v>
      </c>
      <c r="DJ87" s="362">
        <v>3300</v>
      </c>
      <c r="DK87" s="362" t="s">
        <v>374</v>
      </c>
      <c r="DL87" s="362" t="s">
        <v>375</v>
      </c>
      <c r="DM87" s="362">
        <v>8.99</v>
      </c>
      <c r="DN87" s="362">
        <v>8.24</v>
      </c>
      <c r="DO87" s="362">
        <v>1401.3</v>
      </c>
      <c r="DP87" s="362">
        <v>18</v>
      </c>
      <c r="DQ87" s="362">
        <v>1.71</v>
      </c>
    </row>
    <row r="88" spans="1:121" hidden="1" x14ac:dyDescent="0.25">
      <c r="A88" s="362" t="s">
        <v>155</v>
      </c>
      <c r="B88" s="56" t="str">
        <f>VLOOKUP(Table3[[#This Row],[Station]], StationName, 2, FALSE)</f>
        <v>L02-641-1</v>
      </c>
      <c r="C88" s="362">
        <v>1756007</v>
      </c>
      <c r="D88" s="221">
        <v>44350.415277777778</v>
      </c>
      <c r="E88" s="362" t="s">
        <v>293</v>
      </c>
      <c r="F88" s="362" t="s">
        <v>294</v>
      </c>
      <c r="G88" s="362" t="s">
        <v>294</v>
      </c>
      <c r="H88" s="362" t="s">
        <v>294</v>
      </c>
      <c r="I88" s="362" t="s">
        <v>294</v>
      </c>
      <c r="J88" s="362" t="s">
        <v>294</v>
      </c>
      <c r="K88" s="362" t="s">
        <v>294</v>
      </c>
      <c r="L88" s="362" t="s">
        <v>294</v>
      </c>
      <c r="M88" s="362" t="s">
        <v>294</v>
      </c>
      <c r="N88" s="362" t="s">
        <v>294</v>
      </c>
      <c r="O88" s="362" t="s">
        <v>294</v>
      </c>
      <c r="P88" s="362" t="s">
        <v>294</v>
      </c>
      <c r="Q88" s="362" t="s">
        <v>294</v>
      </c>
      <c r="R88" s="362" t="s">
        <v>294</v>
      </c>
      <c r="S88" s="362" t="s">
        <v>294</v>
      </c>
      <c r="T88" s="362" t="s">
        <v>294</v>
      </c>
      <c r="U88" s="362" t="s">
        <v>294</v>
      </c>
      <c r="V88" s="362" t="s">
        <v>294</v>
      </c>
      <c r="W88" s="362" t="s">
        <v>294</v>
      </c>
      <c r="X88" s="362" t="s">
        <v>294</v>
      </c>
      <c r="Y88" s="362" t="s">
        <v>294</v>
      </c>
      <c r="Z88" s="362" t="s">
        <v>294</v>
      </c>
      <c r="AA88" s="362" t="s">
        <v>294</v>
      </c>
      <c r="AB88" s="362" t="s">
        <v>294</v>
      </c>
      <c r="AC88" s="362" t="s">
        <v>294</v>
      </c>
      <c r="AD88" s="362" t="s">
        <v>294</v>
      </c>
      <c r="AE88" s="362" t="s">
        <v>294</v>
      </c>
      <c r="AF88" s="362" t="s">
        <v>294</v>
      </c>
      <c r="AG88" s="362" t="s">
        <v>294</v>
      </c>
      <c r="AH88" s="362" t="s">
        <v>294</v>
      </c>
      <c r="AI88" s="362" t="s">
        <v>294</v>
      </c>
      <c r="AJ88" s="362" t="s">
        <v>294</v>
      </c>
      <c r="AK88" s="362" t="s">
        <v>294</v>
      </c>
      <c r="AL88" s="362" t="s">
        <v>294</v>
      </c>
      <c r="AM88" s="362" t="s">
        <v>294</v>
      </c>
      <c r="AN88" s="362" t="s">
        <v>294</v>
      </c>
      <c r="AO88" s="362" t="s">
        <v>294</v>
      </c>
      <c r="AP88" s="362" t="s">
        <v>294</v>
      </c>
      <c r="AQ88" s="362" t="s">
        <v>294</v>
      </c>
      <c r="AR88" s="362" t="s">
        <v>294</v>
      </c>
      <c r="AS88" s="362" t="s">
        <v>294</v>
      </c>
      <c r="AT88" s="362" t="s">
        <v>294</v>
      </c>
      <c r="AU88" s="362" t="s">
        <v>294</v>
      </c>
      <c r="AV88" s="362" t="s">
        <v>294</v>
      </c>
      <c r="AW88" s="362" t="s">
        <v>294</v>
      </c>
      <c r="AX88" s="362" t="s">
        <v>294</v>
      </c>
      <c r="AY88" s="362" t="s">
        <v>294</v>
      </c>
      <c r="AZ88" s="362" t="s">
        <v>294</v>
      </c>
      <c r="BA88" s="362" t="s">
        <v>294</v>
      </c>
      <c r="BB88" s="362" t="s">
        <v>294</v>
      </c>
      <c r="BC88" s="362" t="s">
        <v>294</v>
      </c>
      <c r="BD88" s="362" t="s">
        <v>294</v>
      </c>
      <c r="BE88" s="362" t="s">
        <v>294</v>
      </c>
      <c r="BF88" s="362" t="s">
        <v>294</v>
      </c>
      <c r="BG88" s="362" t="s">
        <v>294</v>
      </c>
      <c r="BH88" s="362" t="s">
        <v>294</v>
      </c>
      <c r="BI88" s="362" t="s">
        <v>294</v>
      </c>
      <c r="BJ88" s="362" t="s">
        <v>294</v>
      </c>
      <c r="BK88" s="362" t="s">
        <v>294</v>
      </c>
      <c r="BL88" s="362" t="s">
        <v>294</v>
      </c>
      <c r="BM88" s="362" t="s">
        <v>294</v>
      </c>
      <c r="BN88" s="362" t="s">
        <v>294</v>
      </c>
      <c r="BO88" s="362" t="s">
        <v>294</v>
      </c>
      <c r="BP88" s="362" t="s">
        <v>294</v>
      </c>
      <c r="BQ88" s="362" t="s">
        <v>294</v>
      </c>
      <c r="BR88" s="362" t="s">
        <v>294</v>
      </c>
      <c r="BS88" s="362" t="s">
        <v>294</v>
      </c>
      <c r="BT88" s="362" t="s">
        <v>294</v>
      </c>
      <c r="BU88" s="362" t="s">
        <v>294</v>
      </c>
      <c r="BV88" s="362" t="s">
        <v>294</v>
      </c>
      <c r="BW88" s="362" t="s">
        <v>294</v>
      </c>
      <c r="BX88" s="362" t="s">
        <v>294</v>
      </c>
      <c r="BY88" s="362" t="s">
        <v>294</v>
      </c>
      <c r="BZ88" s="362" t="s">
        <v>294</v>
      </c>
      <c r="CA88" s="362">
        <v>1.7</v>
      </c>
      <c r="CB88" s="362" t="s">
        <v>254</v>
      </c>
      <c r="CC88" s="362" t="s">
        <v>294</v>
      </c>
      <c r="CD88" s="362">
        <v>0.46</v>
      </c>
      <c r="CE88" s="362">
        <v>0.56000000000000005</v>
      </c>
      <c r="CF88" s="362">
        <v>4.9000000000000004</v>
      </c>
      <c r="CG88" s="362" t="s">
        <v>294</v>
      </c>
      <c r="CH88" s="362" t="s">
        <v>294</v>
      </c>
      <c r="CI88" s="362" t="s">
        <v>286</v>
      </c>
      <c r="CJ88" s="362" t="s">
        <v>254</v>
      </c>
      <c r="CK88" s="362" t="s">
        <v>294</v>
      </c>
      <c r="CL88" s="362">
        <v>4.5</v>
      </c>
      <c r="CM88" s="362" t="s">
        <v>294</v>
      </c>
      <c r="CN88" s="362" t="s">
        <v>288</v>
      </c>
      <c r="CO88" s="362" t="s">
        <v>259</v>
      </c>
      <c r="CP88" s="362">
        <v>1</v>
      </c>
      <c r="CQ88" s="362" t="s">
        <v>254</v>
      </c>
      <c r="CR88" s="362" t="s">
        <v>254</v>
      </c>
      <c r="CS88" s="362" t="s">
        <v>294</v>
      </c>
      <c r="CT88" s="362">
        <v>15</v>
      </c>
      <c r="CU88" s="362" t="s">
        <v>294</v>
      </c>
      <c r="CV88" s="362" t="s">
        <v>294</v>
      </c>
      <c r="CW88" s="362" t="s">
        <v>294</v>
      </c>
      <c r="CX88" s="362" t="s">
        <v>294</v>
      </c>
      <c r="CY88" s="362" t="s">
        <v>294</v>
      </c>
      <c r="CZ88" s="362" t="s">
        <v>294</v>
      </c>
      <c r="DA88" s="362" t="s">
        <v>294</v>
      </c>
      <c r="DB88" s="362" t="s">
        <v>294</v>
      </c>
      <c r="DC88" s="362" t="s">
        <v>294</v>
      </c>
      <c r="DD88" s="362" t="s">
        <v>294</v>
      </c>
      <c r="DE88" s="362" t="s">
        <v>294</v>
      </c>
      <c r="DF88" s="362" t="s">
        <v>294</v>
      </c>
      <c r="DG88" s="362" t="s">
        <v>294</v>
      </c>
      <c r="DH88" s="362" t="s">
        <v>294</v>
      </c>
      <c r="DI88" s="362" t="s">
        <v>294</v>
      </c>
      <c r="DJ88" s="362" t="s">
        <v>294</v>
      </c>
      <c r="DK88" s="362" t="s">
        <v>294</v>
      </c>
      <c r="DL88" s="362" t="s">
        <v>294</v>
      </c>
      <c r="DM88" s="362" t="s">
        <v>294</v>
      </c>
      <c r="DN88" s="362" t="s">
        <v>294</v>
      </c>
      <c r="DO88" s="362" t="s">
        <v>294</v>
      </c>
      <c r="DP88" s="362" t="s">
        <v>294</v>
      </c>
      <c r="DQ88" s="362" t="s">
        <v>294</v>
      </c>
    </row>
    <row r="89" spans="1:121" x14ac:dyDescent="0.25">
      <c r="A89" s="362" t="s">
        <v>376</v>
      </c>
      <c r="B89" s="56" t="str">
        <f>VLOOKUP(Table3[[#This Row],[Station]], StationName, 2, FALSE)</f>
        <v>L01-731-1 (L08TBN2)</v>
      </c>
      <c r="C89" s="362">
        <v>1756004</v>
      </c>
      <c r="D89" s="221">
        <v>44350.429861111108</v>
      </c>
      <c r="E89" s="362" t="s">
        <v>283</v>
      </c>
      <c r="F89" s="362">
        <v>53</v>
      </c>
      <c r="G89" s="362">
        <v>76</v>
      </c>
      <c r="H89" s="362">
        <v>87</v>
      </c>
      <c r="I89" s="362">
        <v>74</v>
      </c>
      <c r="J89" s="362">
        <v>39</v>
      </c>
      <c r="K89" s="362">
        <v>51</v>
      </c>
      <c r="L89" s="362">
        <v>59</v>
      </c>
      <c r="M89" s="362">
        <v>59</v>
      </c>
      <c r="N89" s="362">
        <v>40</v>
      </c>
      <c r="O89" s="362" t="s">
        <v>259</v>
      </c>
      <c r="P89" s="362" t="s">
        <v>259</v>
      </c>
      <c r="Q89" s="362" t="s">
        <v>259</v>
      </c>
      <c r="R89" s="362" t="s">
        <v>259</v>
      </c>
      <c r="S89" s="362" t="s">
        <v>259</v>
      </c>
      <c r="T89" s="362" t="s">
        <v>259</v>
      </c>
      <c r="U89" s="362" t="s">
        <v>256</v>
      </c>
      <c r="V89" s="362" t="s">
        <v>256</v>
      </c>
      <c r="W89" s="362" t="s">
        <v>256</v>
      </c>
      <c r="X89" s="362" t="s">
        <v>256</v>
      </c>
      <c r="Y89" s="362" t="s">
        <v>284</v>
      </c>
      <c r="Z89" s="362" t="s">
        <v>256</v>
      </c>
      <c r="AA89" s="362" t="s">
        <v>256</v>
      </c>
      <c r="AB89" s="362" t="s">
        <v>256</v>
      </c>
      <c r="AC89" s="362" t="s">
        <v>256</v>
      </c>
      <c r="AD89" s="362" t="s">
        <v>256</v>
      </c>
      <c r="AE89" s="362" t="s">
        <v>256</v>
      </c>
      <c r="AF89" s="362" t="s">
        <v>256</v>
      </c>
      <c r="AG89" s="362" t="s">
        <v>256</v>
      </c>
      <c r="AH89" s="362" t="s">
        <v>256</v>
      </c>
      <c r="AI89" s="362" t="s">
        <v>256</v>
      </c>
      <c r="AJ89" s="362" t="s">
        <v>248</v>
      </c>
      <c r="AK89" s="362" t="s">
        <v>259</v>
      </c>
      <c r="AL89" s="362" t="s">
        <v>259</v>
      </c>
      <c r="AM89" s="362" t="s">
        <v>251</v>
      </c>
      <c r="AN89" s="362" t="s">
        <v>256</v>
      </c>
      <c r="AO89" s="362" t="s">
        <v>259</v>
      </c>
      <c r="AP89" s="362" t="s">
        <v>251</v>
      </c>
      <c r="AQ89" s="362" t="s">
        <v>256</v>
      </c>
      <c r="AR89" s="362" t="s">
        <v>256</v>
      </c>
      <c r="AS89" s="362" t="s">
        <v>285</v>
      </c>
      <c r="AT89" s="362" t="s">
        <v>259</v>
      </c>
      <c r="AU89" s="362" t="s">
        <v>284</v>
      </c>
      <c r="AV89" s="362" t="s">
        <v>259</v>
      </c>
      <c r="AW89" s="362" t="s">
        <v>256</v>
      </c>
      <c r="AX89" s="362" t="s">
        <v>256</v>
      </c>
      <c r="AY89" s="362" t="s">
        <v>256</v>
      </c>
      <c r="AZ89" s="362" t="s">
        <v>256</v>
      </c>
      <c r="BA89" s="362" t="s">
        <v>256</v>
      </c>
      <c r="BB89" s="362" t="s">
        <v>259</v>
      </c>
      <c r="BC89" s="362" t="s">
        <v>286</v>
      </c>
      <c r="BD89" s="362" t="s">
        <v>248</v>
      </c>
      <c r="BE89" s="362" t="s">
        <v>259</v>
      </c>
      <c r="BF89" s="362" t="s">
        <v>248</v>
      </c>
      <c r="BG89" s="362" t="s">
        <v>256</v>
      </c>
      <c r="BH89" s="362" t="s">
        <v>256</v>
      </c>
      <c r="BI89" s="362" t="s">
        <v>256</v>
      </c>
      <c r="BJ89" s="362" t="s">
        <v>256</v>
      </c>
      <c r="BK89" s="362" t="s">
        <v>256</v>
      </c>
      <c r="BL89" s="362" t="s">
        <v>256</v>
      </c>
      <c r="BM89" s="362" t="s">
        <v>259</v>
      </c>
      <c r="BN89" s="362" t="s">
        <v>256</v>
      </c>
      <c r="BO89" s="362" t="s">
        <v>259</v>
      </c>
      <c r="BP89" s="362" t="s">
        <v>284</v>
      </c>
      <c r="BQ89" s="362" t="s">
        <v>256</v>
      </c>
      <c r="BR89" s="362" t="s">
        <v>256</v>
      </c>
      <c r="BS89" s="362">
        <v>1.0900000000000001</v>
      </c>
      <c r="BT89" s="362" t="s">
        <v>284</v>
      </c>
      <c r="BU89" s="362">
        <v>1.55</v>
      </c>
      <c r="BV89" s="362" t="s">
        <v>248</v>
      </c>
      <c r="BW89" s="362" t="s">
        <v>285</v>
      </c>
      <c r="BX89" s="362" t="s">
        <v>287</v>
      </c>
      <c r="BY89" s="362" t="s">
        <v>259</v>
      </c>
      <c r="BZ89" s="362" t="s">
        <v>259</v>
      </c>
      <c r="CA89" s="362">
        <v>1.1000000000000001</v>
      </c>
      <c r="CB89" s="362" t="s">
        <v>254</v>
      </c>
      <c r="CC89" s="362">
        <v>215</v>
      </c>
      <c r="CD89" s="362" t="s">
        <v>230</v>
      </c>
      <c r="CE89" s="362" t="s">
        <v>254</v>
      </c>
      <c r="CF89" s="362">
        <v>6.9</v>
      </c>
      <c r="CG89" s="362">
        <v>5.5</v>
      </c>
      <c r="CH89" s="362">
        <v>819</v>
      </c>
      <c r="CI89" s="362">
        <v>1500</v>
      </c>
      <c r="CJ89" s="362" t="s">
        <v>254</v>
      </c>
      <c r="CK89" s="362">
        <v>68.7</v>
      </c>
      <c r="CL89" s="362">
        <v>860</v>
      </c>
      <c r="CM89" s="362">
        <v>6.2E-2</v>
      </c>
      <c r="CN89" s="362" t="s">
        <v>288</v>
      </c>
      <c r="CO89" s="362">
        <v>2.5</v>
      </c>
      <c r="CP89" s="362">
        <v>0.7</v>
      </c>
      <c r="CQ89" s="362" t="s">
        <v>254</v>
      </c>
      <c r="CR89" s="362" t="s">
        <v>254</v>
      </c>
      <c r="CS89" s="362">
        <v>7.2</v>
      </c>
      <c r="CT89" s="362" t="s">
        <v>284</v>
      </c>
      <c r="CU89" s="362" t="s">
        <v>153</v>
      </c>
      <c r="CV89" s="362">
        <v>420</v>
      </c>
      <c r="CW89" s="362">
        <v>0.7</v>
      </c>
      <c r="CX89" s="362">
        <v>0.71</v>
      </c>
      <c r="CY89" s="362">
        <v>0.12</v>
      </c>
      <c r="CZ89" s="362">
        <v>7.92</v>
      </c>
      <c r="DA89" s="362">
        <v>1.1000000000000001</v>
      </c>
      <c r="DB89" s="362">
        <v>2900</v>
      </c>
      <c r="DC89" s="362">
        <v>580</v>
      </c>
      <c r="DD89" s="362">
        <v>22.7</v>
      </c>
      <c r="DE89" s="362">
        <v>1700</v>
      </c>
      <c r="DF89" s="362" t="s">
        <v>289</v>
      </c>
      <c r="DG89" s="362">
        <v>8.6</v>
      </c>
      <c r="DH89" s="362">
        <v>4.5999999999999996</v>
      </c>
      <c r="DI89" s="362">
        <v>1400</v>
      </c>
      <c r="DJ89" s="362">
        <v>70</v>
      </c>
      <c r="DK89" s="362">
        <v>210</v>
      </c>
      <c r="DL89" s="362" t="s">
        <v>368</v>
      </c>
      <c r="DM89" s="362">
        <v>8.4600000000000009</v>
      </c>
      <c r="DN89" s="362">
        <v>8.08</v>
      </c>
      <c r="DO89" s="362">
        <v>3290.78</v>
      </c>
      <c r="DP89" s="362">
        <v>21</v>
      </c>
      <c r="DQ89" s="362">
        <v>9.6999999999999993</v>
      </c>
    </row>
    <row r="90" spans="1:121" hidden="1" x14ac:dyDescent="0.25">
      <c r="A90" s="362" t="s">
        <v>376</v>
      </c>
      <c r="B90" s="56" t="str">
        <f>VLOOKUP(Table3[[#This Row],[Station]], StationName, 2, FALSE)</f>
        <v>L01-731-1 (L08TBN2)</v>
      </c>
      <c r="C90" s="362">
        <v>1756009</v>
      </c>
      <c r="D90" s="221">
        <v>44350.429861111108</v>
      </c>
      <c r="E90" s="362" t="s">
        <v>293</v>
      </c>
      <c r="F90" s="362" t="s">
        <v>294</v>
      </c>
      <c r="G90" s="362" t="s">
        <v>294</v>
      </c>
      <c r="H90" s="362" t="s">
        <v>294</v>
      </c>
      <c r="I90" s="362" t="s">
        <v>294</v>
      </c>
      <c r="J90" s="362" t="s">
        <v>294</v>
      </c>
      <c r="K90" s="362" t="s">
        <v>294</v>
      </c>
      <c r="L90" s="362" t="s">
        <v>294</v>
      </c>
      <c r="M90" s="362" t="s">
        <v>294</v>
      </c>
      <c r="N90" s="362" t="s">
        <v>294</v>
      </c>
      <c r="O90" s="362" t="s">
        <v>294</v>
      </c>
      <c r="P90" s="362" t="s">
        <v>294</v>
      </c>
      <c r="Q90" s="362" t="s">
        <v>294</v>
      </c>
      <c r="R90" s="362" t="s">
        <v>294</v>
      </c>
      <c r="S90" s="362" t="s">
        <v>294</v>
      </c>
      <c r="T90" s="362" t="s">
        <v>294</v>
      </c>
      <c r="U90" s="362" t="s">
        <v>294</v>
      </c>
      <c r="V90" s="362" t="s">
        <v>294</v>
      </c>
      <c r="W90" s="362" t="s">
        <v>294</v>
      </c>
      <c r="X90" s="362" t="s">
        <v>294</v>
      </c>
      <c r="Y90" s="362" t="s">
        <v>294</v>
      </c>
      <c r="Z90" s="362" t="s">
        <v>294</v>
      </c>
      <c r="AA90" s="362" t="s">
        <v>294</v>
      </c>
      <c r="AB90" s="362" t="s">
        <v>294</v>
      </c>
      <c r="AC90" s="362" t="s">
        <v>294</v>
      </c>
      <c r="AD90" s="362" t="s">
        <v>294</v>
      </c>
      <c r="AE90" s="362" t="s">
        <v>294</v>
      </c>
      <c r="AF90" s="362" t="s">
        <v>294</v>
      </c>
      <c r="AG90" s="362" t="s">
        <v>294</v>
      </c>
      <c r="AH90" s="362" t="s">
        <v>294</v>
      </c>
      <c r="AI90" s="362" t="s">
        <v>294</v>
      </c>
      <c r="AJ90" s="362" t="s">
        <v>294</v>
      </c>
      <c r="AK90" s="362" t="s">
        <v>294</v>
      </c>
      <c r="AL90" s="362" t="s">
        <v>294</v>
      </c>
      <c r="AM90" s="362" t="s">
        <v>294</v>
      </c>
      <c r="AN90" s="362" t="s">
        <v>294</v>
      </c>
      <c r="AO90" s="362" t="s">
        <v>294</v>
      </c>
      <c r="AP90" s="362" t="s">
        <v>294</v>
      </c>
      <c r="AQ90" s="362" t="s">
        <v>294</v>
      </c>
      <c r="AR90" s="362" t="s">
        <v>294</v>
      </c>
      <c r="AS90" s="362" t="s">
        <v>294</v>
      </c>
      <c r="AT90" s="362" t="s">
        <v>294</v>
      </c>
      <c r="AU90" s="362" t="s">
        <v>294</v>
      </c>
      <c r="AV90" s="362" t="s">
        <v>294</v>
      </c>
      <c r="AW90" s="362" t="s">
        <v>294</v>
      </c>
      <c r="AX90" s="362" t="s">
        <v>294</v>
      </c>
      <c r="AY90" s="362" t="s">
        <v>294</v>
      </c>
      <c r="AZ90" s="362" t="s">
        <v>294</v>
      </c>
      <c r="BA90" s="362" t="s">
        <v>294</v>
      </c>
      <c r="BB90" s="362" t="s">
        <v>294</v>
      </c>
      <c r="BC90" s="362" t="s">
        <v>294</v>
      </c>
      <c r="BD90" s="362" t="s">
        <v>294</v>
      </c>
      <c r="BE90" s="362" t="s">
        <v>294</v>
      </c>
      <c r="BF90" s="362" t="s">
        <v>294</v>
      </c>
      <c r="BG90" s="362" t="s">
        <v>294</v>
      </c>
      <c r="BH90" s="362" t="s">
        <v>294</v>
      </c>
      <c r="BI90" s="362" t="s">
        <v>294</v>
      </c>
      <c r="BJ90" s="362" t="s">
        <v>294</v>
      </c>
      <c r="BK90" s="362" t="s">
        <v>294</v>
      </c>
      <c r="BL90" s="362" t="s">
        <v>294</v>
      </c>
      <c r="BM90" s="362" t="s">
        <v>294</v>
      </c>
      <c r="BN90" s="362" t="s">
        <v>294</v>
      </c>
      <c r="BO90" s="362" t="s">
        <v>294</v>
      </c>
      <c r="BP90" s="362" t="s">
        <v>294</v>
      </c>
      <c r="BQ90" s="362" t="s">
        <v>294</v>
      </c>
      <c r="BR90" s="362" t="s">
        <v>294</v>
      </c>
      <c r="BS90" s="362" t="s">
        <v>294</v>
      </c>
      <c r="BT90" s="362" t="s">
        <v>294</v>
      </c>
      <c r="BU90" s="362" t="s">
        <v>294</v>
      </c>
      <c r="BV90" s="362" t="s">
        <v>294</v>
      </c>
      <c r="BW90" s="362" t="s">
        <v>294</v>
      </c>
      <c r="BX90" s="362" t="s">
        <v>294</v>
      </c>
      <c r="BY90" s="362" t="s">
        <v>294</v>
      </c>
      <c r="BZ90" s="362" t="s">
        <v>294</v>
      </c>
      <c r="CA90" s="362">
        <v>0.72</v>
      </c>
      <c r="CB90" s="362" t="s">
        <v>254</v>
      </c>
      <c r="CC90" s="362" t="s">
        <v>294</v>
      </c>
      <c r="CD90" s="362" t="s">
        <v>230</v>
      </c>
      <c r="CE90" s="362" t="s">
        <v>254</v>
      </c>
      <c r="CF90" s="362">
        <v>6.1</v>
      </c>
      <c r="CG90" s="362" t="s">
        <v>294</v>
      </c>
      <c r="CH90" s="362" t="s">
        <v>294</v>
      </c>
      <c r="CI90" s="362" t="s">
        <v>286</v>
      </c>
      <c r="CJ90" s="362" t="s">
        <v>254</v>
      </c>
      <c r="CK90" s="362" t="s">
        <v>294</v>
      </c>
      <c r="CL90" s="362">
        <v>830</v>
      </c>
      <c r="CM90" s="362" t="s">
        <v>294</v>
      </c>
      <c r="CN90" s="362" t="s">
        <v>288</v>
      </c>
      <c r="CO90" s="362">
        <v>2.6</v>
      </c>
      <c r="CP90" s="362">
        <v>0.73</v>
      </c>
      <c r="CQ90" s="362" t="s">
        <v>254</v>
      </c>
      <c r="CR90" s="362" t="s">
        <v>254</v>
      </c>
      <c r="CS90" s="362" t="s">
        <v>294</v>
      </c>
      <c r="CT90" s="362" t="s">
        <v>284</v>
      </c>
      <c r="CU90" s="362" t="s">
        <v>294</v>
      </c>
      <c r="CV90" s="362" t="s">
        <v>294</v>
      </c>
      <c r="CW90" s="362" t="s">
        <v>294</v>
      </c>
      <c r="CX90" s="362" t="s">
        <v>294</v>
      </c>
      <c r="CY90" s="362" t="s">
        <v>294</v>
      </c>
      <c r="CZ90" s="362" t="s">
        <v>294</v>
      </c>
      <c r="DA90" s="362" t="s">
        <v>294</v>
      </c>
      <c r="DB90" s="362" t="s">
        <v>294</v>
      </c>
      <c r="DC90" s="362" t="s">
        <v>294</v>
      </c>
      <c r="DD90" s="362" t="s">
        <v>294</v>
      </c>
      <c r="DE90" s="362" t="s">
        <v>294</v>
      </c>
      <c r="DF90" s="362" t="s">
        <v>294</v>
      </c>
      <c r="DG90" s="362" t="s">
        <v>294</v>
      </c>
      <c r="DH90" s="362" t="s">
        <v>294</v>
      </c>
      <c r="DI90" s="362" t="s">
        <v>294</v>
      </c>
      <c r="DJ90" s="362" t="s">
        <v>294</v>
      </c>
      <c r="DK90" s="362" t="s">
        <v>294</v>
      </c>
      <c r="DL90" s="362" t="s">
        <v>294</v>
      </c>
      <c r="DM90" s="362" t="s">
        <v>294</v>
      </c>
      <c r="DN90" s="362" t="s">
        <v>294</v>
      </c>
      <c r="DO90" s="362" t="s">
        <v>294</v>
      </c>
      <c r="DP90" s="362" t="s">
        <v>294</v>
      </c>
      <c r="DQ90" s="362" t="s">
        <v>294</v>
      </c>
    </row>
    <row r="91" spans="1:121" x14ac:dyDescent="0.25">
      <c r="A91" s="62" t="s">
        <v>144</v>
      </c>
      <c r="B91" s="56" t="str">
        <f>VLOOKUP(Table3[[#This Row],[Station]], StationName, 2, FALSE)</f>
        <v>L04-266-5</v>
      </c>
      <c r="C91" s="362">
        <v>1854003</v>
      </c>
      <c r="D91" s="324">
        <v>44411.381249999999</v>
      </c>
      <c r="E91" s="326" t="s">
        <v>283</v>
      </c>
      <c r="F91" s="327">
        <v>78</v>
      </c>
      <c r="G91" s="327">
        <v>95</v>
      </c>
      <c r="H91" s="327">
        <v>83</v>
      </c>
      <c r="I91" s="327">
        <v>90</v>
      </c>
      <c r="J91" s="327">
        <v>69</v>
      </c>
      <c r="K91" s="327">
        <v>80</v>
      </c>
      <c r="L91" s="327">
        <v>85</v>
      </c>
      <c r="M91" s="327">
        <v>93</v>
      </c>
      <c r="N91" s="327">
        <v>66</v>
      </c>
      <c r="O91" s="327" t="s">
        <v>259</v>
      </c>
      <c r="P91" s="62" t="s">
        <v>259</v>
      </c>
      <c r="Q91" s="62" t="s">
        <v>259</v>
      </c>
      <c r="R91" s="62" t="s">
        <v>259</v>
      </c>
      <c r="S91" s="327" t="s">
        <v>259</v>
      </c>
      <c r="T91" s="327" t="s">
        <v>259</v>
      </c>
      <c r="U91" s="327" t="s">
        <v>256</v>
      </c>
      <c r="V91" s="327" t="s">
        <v>256</v>
      </c>
      <c r="W91" s="327" t="s">
        <v>256</v>
      </c>
      <c r="X91" s="327" t="s">
        <v>256</v>
      </c>
      <c r="Y91" s="327" t="s">
        <v>284</v>
      </c>
      <c r="Z91" s="327" t="s">
        <v>256</v>
      </c>
      <c r="AA91" s="327" t="s">
        <v>256</v>
      </c>
      <c r="AB91" s="327" t="s">
        <v>256</v>
      </c>
      <c r="AC91" s="327" t="s">
        <v>256</v>
      </c>
      <c r="AD91" s="327" t="s">
        <v>256</v>
      </c>
      <c r="AE91" s="327" t="s">
        <v>256</v>
      </c>
      <c r="AF91" s="62" t="s">
        <v>256</v>
      </c>
      <c r="AG91" s="62" t="s">
        <v>256</v>
      </c>
      <c r="AH91" s="62" t="s">
        <v>256</v>
      </c>
      <c r="AI91" s="327" t="s">
        <v>256</v>
      </c>
      <c r="AJ91" s="327" t="s">
        <v>248</v>
      </c>
      <c r="AK91" s="327" t="s">
        <v>259</v>
      </c>
      <c r="AL91" s="327" t="s">
        <v>259</v>
      </c>
      <c r="AM91" s="327" t="s">
        <v>251</v>
      </c>
      <c r="AN91" s="327" t="s">
        <v>256</v>
      </c>
      <c r="AO91" s="327" t="s">
        <v>259</v>
      </c>
      <c r="AP91" s="62" t="s">
        <v>251</v>
      </c>
      <c r="AQ91" s="62" t="s">
        <v>256</v>
      </c>
      <c r="AR91" s="62" t="s">
        <v>256</v>
      </c>
      <c r="AS91" s="62" t="s">
        <v>285</v>
      </c>
      <c r="AT91" s="62" t="s">
        <v>259</v>
      </c>
      <c r="AU91" s="327" t="s">
        <v>284</v>
      </c>
      <c r="AV91" s="327" t="s">
        <v>259</v>
      </c>
      <c r="AW91" s="62" t="s">
        <v>256</v>
      </c>
      <c r="AX91" s="62" t="s">
        <v>256</v>
      </c>
      <c r="AY91" s="62" t="s">
        <v>256</v>
      </c>
      <c r="AZ91" s="62" t="s">
        <v>256</v>
      </c>
      <c r="BA91" s="62" t="s">
        <v>256</v>
      </c>
      <c r="BB91" s="62" t="s">
        <v>259</v>
      </c>
      <c r="BC91" s="62" t="s">
        <v>286</v>
      </c>
      <c r="BD91" s="62" t="s">
        <v>248</v>
      </c>
      <c r="BE91" s="62" t="s">
        <v>259</v>
      </c>
      <c r="BF91" s="62" t="s">
        <v>248</v>
      </c>
      <c r="BG91" s="327">
        <v>1.18</v>
      </c>
      <c r="BH91" s="327" t="s">
        <v>256</v>
      </c>
      <c r="BI91" s="327" t="s">
        <v>256</v>
      </c>
      <c r="BJ91" s="62" t="s">
        <v>256</v>
      </c>
      <c r="BK91" s="327" t="s">
        <v>256</v>
      </c>
      <c r="BL91" s="327" t="s">
        <v>256</v>
      </c>
      <c r="BM91" s="327" t="s">
        <v>259</v>
      </c>
      <c r="BN91" s="62" t="s">
        <v>256</v>
      </c>
      <c r="BO91" s="62" t="s">
        <v>259</v>
      </c>
      <c r="BP91" s="62" t="s">
        <v>284</v>
      </c>
      <c r="BQ91" s="62" t="s">
        <v>256</v>
      </c>
      <c r="BR91" s="327" t="s">
        <v>256</v>
      </c>
      <c r="BS91" s="327">
        <v>1.46</v>
      </c>
      <c r="BT91" s="327" t="s">
        <v>284</v>
      </c>
      <c r="BU91" s="327">
        <v>1.85</v>
      </c>
      <c r="BV91" s="327" t="s">
        <v>248</v>
      </c>
      <c r="BW91" s="62" t="s">
        <v>285</v>
      </c>
      <c r="BX91" s="62" t="s">
        <v>287</v>
      </c>
      <c r="BY91" s="62" t="s">
        <v>259</v>
      </c>
      <c r="BZ91" s="62" t="s">
        <v>259</v>
      </c>
      <c r="CA91" s="62">
        <v>2.5</v>
      </c>
      <c r="CB91" s="62">
        <v>1.5</v>
      </c>
      <c r="CC91" s="62">
        <v>390</v>
      </c>
      <c r="CD91" s="62" t="s">
        <v>230</v>
      </c>
      <c r="CE91" s="62">
        <v>0.36</v>
      </c>
      <c r="CF91" s="62">
        <v>2.8</v>
      </c>
      <c r="CG91" s="62">
        <v>5.4</v>
      </c>
      <c r="CH91" s="62">
        <v>1390</v>
      </c>
      <c r="CI91" s="62">
        <v>340</v>
      </c>
      <c r="CJ91" s="62" t="s">
        <v>254</v>
      </c>
      <c r="CK91" s="62">
        <v>102</v>
      </c>
      <c r="CL91" s="62">
        <v>850</v>
      </c>
      <c r="CM91" s="62" t="s">
        <v>288</v>
      </c>
      <c r="CN91" s="62" t="s">
        <v>288</v>
      </c>
      <c r="CO91" s="62">
        <v>9.1</v>
      </c>
      <c r="CP91" s="62">
        <v>4.8</v>
      </c>
      <c r="CQ91" s="62" t="s">
        <v>254</v>
      </c>
      <c r="CR91" s="62" t="s">
        <v>254</v>
      </c>
      <c r="CS91" s="62">
        <v>5</v>
      </c>
      <c r="CT91" s="62" t="s">
        <v>284</v>
      </c>
      <c r="CU91" s="62" t="s">
        <v>153</v>
      </c>
      <c r="CV91" s="62">
        <v>330</v>
      </c>
      <c r="CW91" s="62">
        <v>0.75</v>
      </c>
      <c r="CX91" s="62">
        <v>0.6</v>
      </c>
      <c r="CY91" s="62">
        <v>0.28999999999999998</v>
      </c>
      <c r="CZ91" s="62">
        <v>7.23</v>
      </c>
      <c r="DA91" s="62">
        <v>1.4</v>
      </c>
      <c r="DB91" s="62">
        <v>3400</v>
      </c>
      <c r="DC91" s="62">
        <v>1100</v>
      </c>
      <c r="DD91" s="62">
        <v>24.9</v>
      </c>
      <c r="DE91" s="62">
        <v>2400</v>
      </c>
      <c r="DF91" s="62" t="s">
        <v>289</v>
      </c>
      <c r="DG91" s="62">
        <v>2.1</v>
      </c>
      <c r="DH91" s="62">
        <v>1.4</v>
      </c>
      <c r="DI91" s="62">
        <v>1490</v>
      </c>
      <c r="DJ91" s="62" t="s">
        <v>341</v>
      </c>
      <c r="DK91" s="62">
        <v>700</v>
      </c>
      <c r="DL91" s="62" t="s">
        <v>377</v>
      </c>
      <c r="DM91" s="62">
        <v>7.15</v>
      </c>
      <c r="DN91" s="62">
        <v>6.88</v>
      </c>
      <c r="DO91" s="62">
        <v>3488.01</v>
      </c>
      <c r="DP91" s="62">
        <v>22.05</v>
      </c>
      <c r="DQ91" s="62">
        <v>1.41</v>
      </c>
    </row>
    <row r="92" spans="1:121" hidden="1" x14ac:dyDescent="0.25">
      <c r="A92" s="62" t="s">
        <v>144</v>
      </c>
      <c r="B92" s="56" t="str">
        <f>VLOOKUP(Table3[[#This Row],[Station]], StationName, 2, FALSE)</f>
        <v>L04-266-5</v>
      </c>
      <c r="C92" s="362">
        <v>1854007</v>
      </c>
      <c r="D92" s="325">
        <v>44411.381249999999</v>
      </c>
      <c r="E92" s="326" t="s">
        <v>293</v>
      </c>
      <c r="F92" s="327" t="s">
        <v>294</v>
      </c>
      <c r="G92" s="327" t="s">
        <v>294</v>
      </c>
      <c r="H92" s="327" t="s">
        <v>294</v>
      </c>
      <c r="I92" s="327" t="s">
        <v>294</v>
      </c>
      <c r="J92" s="327" t="s">
        <v>294</v>
      </c>
      <c r="K92" s="327" t="s">
        <v>294</v>
      </c>
      <c r="L92" s="327" t="s">
        <v>294</v>
      </c>
      <c r="M92" s="327" t="s">
        <v>294</v>
      </c>
      <c r="N92" s="327" t="s">
        <v>294</v>
      </c>
      <c r="O92" s="327" t="s">
        <v>294</v>
      </c>
      <c r="P92" s="62" t="s">
        <v>294</v>
      </c>
      <c r="Q92" s="62" t="s">
        <v>294</v>
      </c>
      <c r="R92" s="62" t="s">
        <v>294</v>
      </c>
      <c r="S92" s="327" t="s">
        <v>294</v>
      </c>
      <c r="T92" s="327" t="s">
        <v>294</v>
      </c>
      <c r="U92" s="327" t="s">
        <v>294</v>
      </c>
      <c r="V92" s="327" t="s">
        <v>294</v>
      </c>
      <c r="W92" s="327" t="s">
        <v>294</v>
      </c>
      <c r="X92" s="327" t="s">
        <v>294</v>
      </c>
      <c r="Y92" s="327" t="s">
        <v>294</v>
      </c>
      <c r="Z92" s="327" t="s">
        <v>294</v>
      </c>
      <c r="AA92" s="327" t="s">
        <v>294</v>
      </c>
      <c r="AB92" s="327" t="s">
        <v>294</v>
      </c>
      <c r="AC92" s="327" t="s">
        <v>294</v>
      </c>
      <c r="AD92" s="327" t="s">
        <v>294</v>
      </c>
      <c r="AE92" s="327" t="s">
        <v>294</v>
      </c>
      <c r="AF92" s="62" t="s">
        <v>294</v>
      </c>
      <c r="AG92" s="62" t="s">
        <v>294</v>
      </c>
      <c r="AH92" s="62" t="s">
        <v>294</v>
      </c>
      <c r="AI92" s="327" t="s">
        <v>294</v>
      </c>
      <c r="AJ92" s="327" t="s">
        <v>294</v>
      </c>
      <c r="AK92" s="327" t="s">
        <v>294</v>
      </c>
      <c r="AL92" s="327" t="s">
        <v>294</v>
      </c>
      <c r="AM92" s="327" t="s">
        <v>294</v>
      </c>
      <c r="AN92" s="327" t="s">
        <v>294</v>
      </c>
      <c r="AO92" s="327" t="s">
        <v>294</v>
      </c>
      <c r="AP92" s="62" t="s">
        <v>294</v>
      </c>
      <c r="AQ92" s="62" t="s">
        <v>294</v>
      </c>
      <c r="AR92" s="62" t="s">
        <v>294</v>
      </c>
      <c r="AS92" s="62" t="s">
        <v>294</v>
      </c>
      <c r="AT92" s="62" t="s">
        <v>294</v>
      </c>
      <c r="AU92" s="327" t="s">
        <v>294</v>
      </c>
      <c r="AV92" s="327" t="s">
        <v>294</v>
      </c>
      <c r="AW92" s="62" t="s">
        <v>294</v>
      </c>
      <c r="AX92" s="62" t="s">
        <v>294</v>
      </c>
      <c r="AY92" s="62" t="s">
        <v>294</v>
      </c>
      <c r="AZ92" s="62" t="s">
        <v>294</v>
      </c>
      <c r="BA92" s="62" t="s">
        <v>294</v>
      </c>
      <c r="BB92" s="62" t="s">
        <v>294</v>
      </c>
      <c r="BC92" s="62" t="s">
        <v>294</v>
      </c>
      <c r="BD92" s="62" t="s">
        <v>294</v>
      </c>
      <c r="BE92" s="62" t="s">
        <v>294</v>
      </c>
      <c r="BF92" s="62" t="s">
        <v>294</v>
      </c>
      <c r="BG92" s="327" t="s">
        <v>294</v>
      </c>
      <c r="BH92" s="327" t="s">
        <v>294</v>
      </c>
      <c r="BI92" s="327" t="s">
        <v>294</v>
      </c>
      <c r="BJ92" s="62" t="s">
        <v>294</v>
      </c>
      <c r="BK92" s="327" t="s">
        <v>294</v>
      </c>
      <c r="BL92" s="327" t="s">
        <v>294</v>
      </c>
      <c r="BM92" s="327" t="s">
        <v>294</v>
      </c>
      <c r="BN92" s="62" t="s">
        <v>294</v>
      </c>
      <c r="BO92" s="62" t="s">
        <v>294</v>
      </c>
      <c r="BP92" s="62" t="s">
        <v>294</v>
      </c>
      <c r="BQ92" s="62" t="s">
        <v>294</v>
      </c>
      <c r="BR92" s="327" t="s">
        <v>294</v>
      </c>
      <c r="BS92" s="327" t="s">
        <v>294</v>
      </c>
      <c r="BT92" s="327" t="s">
        <v>294</v>
      </c>
      <c r="BU92" s="327" t="s">
        <v>294</v>
      </c>
      <c r="BV92" s="327" t="s">
        <v>294</v>
      </c>
      <c r="BW92" s="62" t="s">
        <v>294</v>
      </c>
      <c r="BX92" s="62" t="s">
        <v>294</v>
      </c>
      <c r="BY92" s="62" t="s">
        <v>294</v>
      </c>
      <c r="BZ92" s="62" t="s">
        <v>294</v>
      </c>
      <c r="CA92" s="62">
        <v>2.1</v>
      </c>
      <c r="CB92" s="62">
        <v>1.3</v>
      </c>
      <c r="CC92" s="62" t="s">
        <v>294</v>
      </c>
      <c r="CD92" s="62" t="s">
        <v>230</v>
      </c>
      <c r="CE92" s="62" t="s">
        <v>254</v>
      </c>
      <c r="CF92" s="62">
        <v>1.8</v>
      </c>
      <c r="CG92" s="62" t="s">
        <v>294</v>
      </c>
      <c r="CH92" s="62" t="s">
        <v>294</v>
      </c>
      <c r="CI92" s="62">
        <v>41</v>
      </c>
      <c r="CJ92" s="62" t="s">
        <v>254</v>
      </c>
      <c r="CK92" s="62" t="s">
        <v>294</v>
      </c>
      <c r="CL92" s="62">
        <v>850</v>
      </c>
      <c r="CM92" s="62" t="s">
        <v>294</v>
      </c>
      <c r="CN92" s="62" t="s">
        <v>288</v>
      </c>
      <c r="CO92" s="62">
        <v>9.1</v>
      </c>
      <c r="CP92" s="62">
        <v>4.7</v>
      </c>
      <c r="CQ92" s="62" t="s">
        <v>254</v>
      </c>
      <c r="CR92" s="62" t="s">
        <v>254</v>
      </c>
      <c r="CS92" s="62" t="s">
        <v>294</v>
      </c>
      <c r="CT92" s="62" t="s">
        <v>284</v>
      </c>
      <c r="CU92" s="62" t="s">
        <v>294</v>
      </c>
      <c r="CV92" s="62" t="s">
        <v>294</v>
      </c>
      <c r="CW92" s="62" t="s">
        <v>294</v>
      </c>
      <c r="CX92" s="62" t="s">
        <v>294</v>
      </c>
      <c r="CY92" s="62" t="s">
        <v>294</v>
      </c>
      <c r="CZ92" s="62" t="s">
        <v>294</v>
      </c>
      <c r="DA92" s="62" t="s">
        <v>294</v>
      </c>
      <c r="DB92" s="62" t="s">
        <v>294</v>
      </c>
      <c r="DC92" s="62" t="s">
        <v>294</v>
      </c>
      <c r="DD92" s="62" t="s">
        <v>294</v>
      </c>
      <c r="DE92" s="62" t="s">
        <v>294</v>
      </c>
      <c r="DF92" s="62" t="s">
        <v>294</v>
      </c>
      <c r="DG92" s="62" t="s">
        <v>294</v>
      </c>
      <c r="DH92" s="62" t="s">
        <v>294</v>
      </c>
      <c r="DI92" s="62" t="s">
        <v>294</v>
      </c>
      <c r="DJ92" s="62" t="s">
        <v>294</v>
      </c>
      <c r="DK92" s="62" t="s">
        <v>294</v>
      </c>
      <c r="DL92" s="62" t="s">
        <v>294</v>
      </c>
      <c r="DM92" s="62" t="s">
        <v>294</v>
      </c>
      <c r="DN92" s="328" t="s">
        <v>294</v>
      </c>
      <c r="DO92" s="328" t="s">
        <v>294</v>
      </c>
      <c r="DP92" s="328" t="s">
        <v>294</v>
      </c>
      <c r="DQ92" s="328" t="s">
        <v>294</v>
      </c>
    </row>
    <row r="93" spans="1:121" x14ac:dyDescent="0.25">
      <c r="A93" s="62" t="s">
        <v>109</v>
      </c>
      <c r="B93" s="56" t="str">
        <f>VLOOKUP(Table3[[#This Row],[Station]], StationName, 2, FALSE)</f>
        <v>L01-404-1</v>
      </c>
      <c r="C93" s="362">
        <v>1855001</v>
      </c>
      <c r="D93" s="325">
        <v>44411.386111111111</v>
      </c>
      <c r="E93" s="326" t="s">
        <v>283</v>
      </c>
      <c r="F93" s="327">
        <v>71</v>
      </c>
      <c r="G93" s="327">
        <v>93</v>
      </c>
      <c r="H93" s="327">
        <v>95</v>
      </c>
      <c r="I93" s="327">
        <v>94</v>
      </c>
      <c r="J93" s="327">
        <v>64</v>
      </c>
      <c r="K93" s="327">
        <v>80</v>
      </c>
      <c r="L93" s="327">
        <v>89</v>
      </c>
      <c r="M93" s="327">
        <v>98</v>
      </c>
      <c r="N93" s="327">
        <v>72</v>
      </c>
      <c r="O93" s="327" t="s">
        <v>259</v>
      </c>
      <c r="P93" s="62" t="s">
        <v>259</v>
      </c>
      <c r="Q93" s="62" t="s">
        <v>259</v>
      </c>
      <c r="R93" s="62" t="s">
        <v>259</v>
      </c>
      <c r="S93" s="327" t="s">
        <v>259</v>
      </c>
      <c r="T93" s="327" t="s">
        <v>259</v>
      </c>
      <c r="U93" s="327" t="s">
        <v>256</v>
      </c>
      <c r="V93" s="327" t="s">
        <v>256</v>
      </c>
      <c r="W93" s="327" t="s">
        <v>256</v>
      </c>
      <c r="X93" s="327" t="s">
        <v>256</v>
      </c>
      <c r="Y93" s="327" t="s">
        <v>284</v>
      </c>
      <c r="Z93" s="327" t="s">
        <v>256</v>
      </c>
      <c r="AA93" s="327" t="s">
        <v>256</v>
      </c>
      <c r="AB93" s="327" t="s">
        <v>256</v>
      </c>
      <c r="AC93" s="327" t="s">
        <v>256</v>
      </c>
      <c r="AD93" s="327" t="s">
        <v>256</v>
      </c>
      <c r="AE93" s="327" t="s">
        <v>256</v>
      </c>
      <c r="AF93" s="62" t="s">
        <v>256</v>
      </c>
      <c r="AG93" s="62" t="s">
        <v>256</v>
      </c>
      <c r="AH93" s="62" t="s">
        <v>256</v>
      </c>
      <c r="AI93" s="327" t="s">
        <v>256</v>
      </c>
      <c r="AJ93" s="327" t="s">
        <v>248</v>
      </c>
      <c r="AK93" s="327" t="s">
        <v>259</v>
      </c>
      <c r="AL93" s="327" t="s">
        <v>259</v>
      </c>
      <c r="AM93" s="327" t="s">
        <v>251</v>
      </c>
      <c r="AN93" s="327" t="s">
        <v>256</v>
      </c>
      <c r="AO93" s="327" t="s">
        <v>259</v>
      </c>
      <c r="AP93" s="62" t="s">
        <v>251</v>
      </c>
      <c r="AQ93" s="62" t="s">
        <v>256</v>
      </c>
      <c r="AR93" s="62" t="s">
        <v>256</v>
      </c>
      <c r="AS93" s="62" t="s">
        <v>285</v>
      </c>
      <c r="AT93" s="62" t="s">
        <v>259</v>
      </c>
      <c r="AU93" s="327" t="s">
        <v>284</v>
      </c>
      <c r="AV93" s="327" t="s">
        <v>259</v>
      </c>
      <c r="AW93" s="62" t="s">
        <v>256</v>
      </c>
      <c r="AX93" s="62" t="s">
        <v>256</v>
      </c>
      <c r="AY93" s="62" t="s">
        <v>256</v>
      </c>
      <c r="AZ93" s="62" t="s">
        <v>256</v>
      </c>
      <c r="BA93" s="62" t="s">
        <v>256</v>
      </c>
      <c r="BB93" s="62" t="s">
        <v>259</v>
      </c>
      <c r="BC93" s="62" t="s">
        <v>286</v>
      </c>
      <c r="BD93" s="62" t="s">
        <v>248</v>
      </c>
      <c r="BE93" s="62" t="s">
        <v>259</v>
      </c>
      <c r="BF93" s="62" t="s">
        <v>248</v>
      </c>
      <c r="BG93" s="327" t="s">
        <v>256</v>
      </c>
      <c r="BH93" s="327" t="s">
        <v>256</v>
      </c>
      <c r="BI93" s="327" t="s">
        <v>256</v>
      </c>
      <c r="BJ93" s="62" t="s">
        <v>256</v>
      </c>
      <c r="BK93" s="327" t="s">
        <v>256</v>
      </c>
      <c r="BL93" s="327" t="s">
        <v>256</v>
      </c>
      <c r="BM93" s="327" t="s">
        <v>259</v>
      </c>
      <c r="BN93" s="62" t="s">
        <v>256</v>
      </c>
      <c r="BO93" s="62" t="s">
        <v>259</v>
      </c>
      <c r="BP93" s="62" t="s">
        <v>284</v>
      </c>
      <c r="BQ93" s="62" t="s">
        <v>256</v>
      </c>
      <c r="BR93" s="327" t="s">
        <v>256</v>
      </c>
      <c r="BS93" s="327">
        <v>1.22</v>
      </c>
      <c r="BT93" s="327" t="s">
        <v>284</v>
      </c>
      <c r="BU93" s="327">
        <v>1.1100000000000001</v>
      </c>
      <c r="BV93" s="327" t="s">
        <v>248</v>
      </c>
      <c r="BW93" s="62" t="s">
        <v>285</v>
      </c>
      <c r="BX93" s="62" t="s">
        <v>287</v>
      </c>
      <c r="BY93" s="62" t="s">
        <v>259</v>
      </c>
      <c r="BZ93" s="62" t="s">
        <v>259</v>
      </c>
      <c r="CA93" s="62">
        <v>2.8</v>
      </c>
      <c r="CB93" s="62" t="s">
        <v>254</v>
      </c>
      <c r="CC93" s="62">
        <v>126</v>
      </c>
      <c r="CD93" s="62">
        <v>0.26</v>
      </c>
      <c r="CE93" s="62">
        <v>0.48</v>
      </c>
      <c r="CF93" s="62">
        <v>4.4000000000000004</v>
      </c>
      <c r="CG93" s="62">
        <v>8.6</v>
      </c>
      <c r="CH93" s="62">
        <v>449</v>
      </c>
      <c r="CI93" s="62">
        <v>45</v>
      </c>
      <c r="CJ93" s="62" t="s">
        <v>254</v>
      </c>
      <c r="CK93" s="62">
        <v>32.5</v>
      </c>
      <c r="CL93" s="62">
        <v>36</v>
      </c>
      <c r="CM93" s="62" t="s">
        <v>288</v>
      </c>
      <c r="CN93" s="62" t="s">
        <v>288</v>
      </c>
      <c r="CO93" s="62" t="s">
        <v>259</v>
      </c>
      <c r="CP93" s="62">
        <v>0.98</v>
      </c>
      <c r="CQ93" s="62" t="s">
        <v>254</v>
      </c>
      <c r="CR93" s="62" t="s">
        <v>254</v>
      </c>
      <c r="CS93" s="62">
        <v>8.3000000000000007</v>
      </c>
      <c r="CT93" s="62" t="s">
        <v>284</v>
      </c>
      <c r="CU93" s="62" t="s">
        <v>153</v>
      </c>
      <c r="CV93" s="62">
        <v>210</v>
      </c>
      <c r="CW93" s="62">
        <v>1.1000000000000001</v>
      </c>
      <c r="CX93" s="62">
        <v>1.5</v>
      </c>
      <c r="CY93" s="62">
        <v>0.17</v>
      </c>
      <c r="CZ93" s="62">
        <v>7.74</v>
      </c>
      <c r="DA93" s="62">
        <v>0.63</v>
      </c>
      <c r="DB93" s="62">
        <v>1800</v>
      </c>
      <c r="DC93" s="62">
        <v>320</v>
      </c>
      <c r="DD93" s="62">
        <v>24.1</v>
      </c>
      <c r="DE93" s="62">
        <v>1200</v>
      </c>
      <c r="DF93" s="62" t="s">
        <v>289</v>
      </c>
      <c r="DG93" s="62">
        <v>1.6</v>
      </c>
      <c r="DH93" s="62">
        <v>0.65</v>
      </c>
      <c r="DI93" s="62">
        <v>3400</v>
      </c>
      <c r="DJ93" s="62" t="s">
        <v>350</v>
      </c>
      <c r="DK93" s="62" t="s">
        <v>378</v>
      </c>
      <c r="DL93" s="62" t="s">
        <v>379</v>
      </c>
      <c r="DM93" s="62">
        <v>8.65</v>
      </c>
      <c r="DN93" s="328">
        <v>8.01</v>
      </c>
      <c r="DO93" s="328">
        <v>1661</v>
      </c>
      <c r="DP93" s="328">
        <v>21.55</v>
      </c>
      <c r="DQ93" s="328">
        <v>2.13</v>
      </c>
    </row>
    <row r="94" spans="1:121" hidden="1" x14ac:dyDescent="0.25">
      <c r="A94" s="62" t="s">
        <v>109</v>
      </c>
      <c r="B94" s="56" t="str">
        <f>VLOOKUP(Table3[[#This Row],[Station]], StationName, 2, FALSE)</f>
        <v>L01-404-1</v>
      </c>
      <c r="C94" s="362">
        <v>1855003</v>
      </c>
      <c r="D94" s="325">
        <v>44411.386111111111</v>
      </c>
      <c r="E94" s="326" t="s">
        <v>293</v>
      </c>
      <c r="F94" s="327" t="s">
        <v>294</v>
      </c>
      <c r="G94" s="327" t="s">
        <v>294</v>
      </c>
      <c r="H94" s="327" t="s">
        <v>294</v>
      </c>
      <c r="I94" s="327" t="s">
        <v>294</v>
      </c>
      <c r="J94" s="327" t="s">
        <v>294</v>
      </c>
      <c r="K94" s="327" t="s">
        <v>294</v>
      </c>
      <c r="L94" s="327" t="s">
        <v>294</v>
      </c>
      <c r="M94" s="327" t="s">
        <v>294</v>
      </c>
      <c r="N94" s="327" t="s">
        <v>294</v>
      </c>
      <c r="O94" s="327" t="s">
        <v>294</v>
      </c>
      <c r="P94" s="62" t="s">
        <v>294</v>
      </c>
      <c r="Q94" s="62" t="s">
        <v>294</v>
      </c>
      <c r="R94" s="62" t="s">
        <v>294</v>
      </c>
      <c r="S94" s="327" t="s">
        <v>294</v>
      </c>
      <c r="T94" s="327" t="s">
        <v>294</v>
      </c>
      <c r="U94" s="327" t="s">
        <v>294</v>
      </c>
      <c r="V94" s="327" t="s">
        <v>294</v>
      </c>
      <c r="W94" s="327" t="s">
        <v>294</v>
      </c>
      <c r="X94" s="327" t="s">
        <v>294</v>
      </c>
      <c r="Y94" s="327" t="s">
        <v>294</v>
      </c>
      <c r="Z94" s="327" t="s">
        <v>294</v>
      </c>
      <c r="AA94" s="327" t="s">
        <v>294</v>
      </c>
      <c r="AB94" s="327" t="s">
        <v>294</v>
      </c>
      <c r="AC94" s="327" t="s">
        <v>294</v>
      </c>
      <c r="AD94" s="327" t="s">
        <v>294</v>
      </c>
      <c r="AE94" s="327" t="s">
        <v>294</v>
      </c>
      <c r="AF94" s="62" t="s">
        <v>294</v>
      </c>
      <c r="AG94" s="62" t="s">
        <v>294</v>
      </c>
      <c r="AH94" s="62" t="s">
        <v>294</v>
      </c>
      <c r="AI94" s="327" t="s">
        <v>294</v>
      </c>
      <c r="AJ94" s="327" t="s">
        <v>294</v>
      </c>
      <c r="AK94" s="327" t="s">
        <v>294</v>
      </c>
      <c r="AL94" s="327" t="s">
        <v>294</v>
      </c>
      <c r="AM94" s="327" t="s">
        <v>294</v>
      </c>
      <c r="AN94" s="327" t="s">
        <v>294</v>
      </c>
      <c r="AO94" s="327" t="s">
        <v>294</v>
      </c>
      <c r="AP94" s="62" t="s">
        <v>294</v>
      </c>
      <c r="AQ94" s="62" t="s">
        <v>294</v>
      </c>
      <c r="AR94" s="62" t="s">
        <v>294</v>
      </c>
      <c r="AS94" s="62" t="s">
        <v>294</v>
      </c>
      <c r="AT94" s="62" t="s">
        <v>294</v>
      </c>
      <c r="AU94" s="327" t="s">
        <v>294</v>
      </c>
      <c r="AV94" s="327" t="s">
        <v>294</v>
      </c>
      <c r="AW94" s="62" t="s">
        <v>294</v>
      </c>
      <c r="AX94" s="62" t="s">
        <v>294</v>
      </c>
      <c r="AY94" s="62" t="s">
        <v>294</v>
      </c>
      <c r="AZ94" s="62" t="s">
        <v>294</v>
      </c>
      <c r="BA94" s="62" t="s">
        <v>294</v>
      </c>
      <c r="BB94" s="62" t="s">
        <v>294</v>
      </c>
      <c r="BC94" s="62" t="s">
        <v>294</v>
      </c>
      <c r="BD94" s="62" t="s">
        <v>294</v>
      </c>
      <c r="BE94" s="62" t="s">
        <v>294</v>
      </c>
      <c r="BF94" s="62" t="s">
        <v>294</v>
      </c>
      <c r="BG94" s="327" t="s">
        <v>294</v>
      </c>
      <c r="BH94" s="327" t="s">
        <v>294</v>
      </c>
      <c r="BI94" s="327" t="s">
        <v>294</v>
      </c>
      <c r="BJ94" s="62" t="s">
        <v>294</v>
      </c>
      <c r="BK94" s="327" t="s">
        <v>294</v>
      </c>
      <c r="BL94" s="327" t="s">
        <v>294</v>
      </c>
      <c r="BM94" s="327" t="s">
        <v>294</v>
      </c>
      <c r="BN94" s="62" t="s">
        <v>294</v>
      </c>
      <c r="BO94" s="62" t="s">
        <v>294</v>
      </c>
      <c r="BP94" s="62" t="s">
        <v>294</v>
      </c>
      <c r="BQ94" s="62" t="s">
        <v>294</v>
      </c>
      <c r="BR94" s="327" t="s">
        <v>294</v>
      </c>
      <c r="BS94" s="327" t="s">
        <v>294</v>
      </c>
      <c r="BT94" s="327" t="s">
        <v>294</v>
      </c>
      <c r="BU94" s="327" t="s">
        <v>294</v>
      </c>
      <c r="BV94" s="327" t="s">
        <v>294</v>
      </c>
      <c r="BW94" s="62" t="s">
        <v>294</v>
      </c>
      <c r="BX94" s="62" t="s">
        <v>294</v>
      </c>
      <c r="BY94" s="62" t="s">
        <v>294</v>
      </c>
      <c r="BZ94" s="62" t="s">
        <v>294</v>
      </c>
      <c r="CA94" s="62">
        <v>2.2999999999999998</v>
      </c>
      <c r="CB94" s="62" t="s">
        <v>254</v>
      </c>
      <c r="CC94" s="62" t="s">
        <v>294</v>
      </c>
      <c r="CD94" s="62">
        <v>0.24</v>
      </c>
      <c r="CE94" s="62">
        <v>0.28999999999999998</v>
      </c>
      <c r="CF94" s="62">
        <v>3.7</v>
      </c>
      <c r="CG94" s="62" t="s">
        <v>294</v>
      </c>
      <c r="CH94" s="62" t="s">
        <v>294</v>
      </c>
      <c r="CI94" s="62" t="s">
        <v>286</v>
      </c>
      <c r="CJ94" s="62" t="s">
        <v>254</v>
      </c>
      <c r="CK94" s="62" t="s">
        <v>294</v>
      </c>
      <c r="CL94" s="62">
        <v>15</v>
      </c>
      <c r="CM94" s="62" t="s">
        <v>294</v>
      </c>
      <c r="CN94" s="62" t="s">
        <v>288</v>
      </c>
      <c r="CO94" s="62" t="s">
        <v>259</v>
      </c>
      <c r="CP94" s="62">
        <v>0.89</v>
      </c>
      <c r="CQ94" s="62" t="s">
        <v>254</v>
      </c>
      <c r="CR94" s="62" t="s">
        <v>254</v>
      </c>
      <c r="CS94" s="62" t="s">
        <v>294</v>
      </c>
      <c r="CT94" s="62" t="s">
        <v>284</v>
      </c>
      <c r="CU94" s="62" t="s">
        <v>294</v>
      </c>
      <c r="CV94" s="62" t="s">
        <v>294</v>
      </c>
      <c r="CW94" s="62" t="s">
        <v>294</v>
      </c>
      <c r="CX94" s="62" t="s">
        <v>294</v>
      </c>
      <c r="CY94" s="62" t="s">
        <v>294</v>
      </c>
      <c r="CZ94" s="62" t="s">
        <v>294</v>
      </c>
      <c r="DA94" s="62" t="s">
        <v>294</v>
      </c>
      <c r="DB94" s="62" t="s">
        <v>294</v>
      </c>
      <c r="DC94" s="62" t="s">
        <v>294</v>
      </c>
      <c r="DD94" s="62" t="s">
        <v>294</v>
      </c>
      <c r="DE94" s="62" t="s">
        <v>294</v>
      </c>
      <c r="DF94" s="62" t="s">
        <v>294</v>
      </c>
      <c r="DG94" s="62" t="s">
        <v>294</v>
      </c>
      <c r="DH94" s="62" t="s">
        <v>294</v>
      </c>
      <c r="DI94" s="62" t="s">
        <v>294</v>
      </c>
      <c r="DJ94" s="62" t="s">
        <v>294</v>
      </c>
      <c r="DK94" s="62" t="s">
        <v>294</v>
      </c>
      <c r="DL94" s="62" t="s">
        <v>294</v>
      </c>
      <c r="DM94" s="62" t="s">
        <v>294</v>
      </c>
      <c r="DN94" s="328" t="s">
        <v>294</v>
      </c>
      <c r="DO94" s="328" t="s">
        <v>294</v>
      </c>
      <c r="DP94" s="328" t="s">
        <v>294</v>
      </c>
      <c r="DQ94" s="328" t="s">
        <v>294</v>
      </c>
    </row>
    <row r="95" spans="1:121" x14ac:dyDescent="0.25">
      <c r="A95" s="62" t="s">
        <v>303</v>
      </c>
      <c r="B95" s="56" t="str">
        <f>VLOOKUP(Table3[[#This Row],[Station]], StationName, 2, FALSE)</f>
        <v>L03-316-3 (L03P12)</v>
      </c>
      <c r="C95" s="362">
        <v>1854004</v>
      </c>
      <c r="D95" s="325">
        <v>44411.421527777777</v>
      </c>
      <c r="E95" s="326" t="s">
        <v>283</v>
      </c>
      <c r="F95" s="327">
        <v>74</v>
      </c>
      <c r="G95" s="327">
        <v>95</v>
      </c>
      <c r="H95" s="327">
        <v>102</v>
      </c>
      <c r="I95" s="327">
        <v>98</v>
      </c>
      <c r="J95" s="327">
        <v>59</v>
      </c>
      <c r="K95" s="327">
        <v>76</v>
      </c>
      <c r="L95" s="327">
        <v>83</v>
      </c>
      <c r="M95" s="327">
        <v>90</v>
      </c>
      <c r="N95" s="327">
        <v>62</v>
      </c>
      <c r="O95" s="327" t="s">
        <v>259</v>
      </c>
      <c r="P95" s="62" t="s">
        <v>259</v>
      </c>
      <c r="Q95" s="62" t="s">
        <v>259</v>
      </c>
      <c r="R95" s="62" t="s">
        <v>259</v>
      </c>
      <c r="S95" s="327" t="s">
        <v>259</v>
      </c>
      <c r="T95" s="327" t="s">
        <v>259</v>
      </c>
      <c r="U95" s="327" t="s">
        <v>256</v>
      </c>
      <c r="V95" s="327" t="s">
        <v>256</v>
      </c>
      <c r="W95" s="327" t="s">
        <v>256</v>
      </c>
      <c r="X95" s="327" t="s">
        <v>256</v>
      </c>
      <c r="Y95" s="327" t="s">
        <v>284</v>
      </c>
      <c r="Z95" s="327" t="s">
        <v>256</v>
      </c>
      <c r="AA95" s="327" t="s">
        <v>256</v>
      </c>
      <c r="AB95" s="327" t="s">
        <v>256</v>
      </c>
      <c r="AC95" s="327" t="s">
        <v>256</v>
      </c>
      <c r="AD95" s="327" t="s">
        <v>256</v>
      </c>
      <c r="AE95" s="327" t="s">
        <v>256</v>
      </c>
      <c r="AF95" s="62" t="s">
        <v>256</v>
      </c>
      <c r="AG95" s="62" t="s">
        <v>256</v>
      </c>
      <c r="AH95" s="62" t="s">
        <v>256</v>
      </c>
      <c r="AI95" s="327" t="s">
        <v>256</v>
      </c>
      <c r="AJ95" s="327" t="s">
        <v>248</v>
      </c>
      <c r="AK95" s="327" t="s">
        <v>259</v>
      </c>
      <c r="AL95" s="327" t="s">
        <v>259</v>
      </c>
      <c r="AM95" s="327" t="s">
        <v>251</v>
      </c>
      <c r="AN95" s="327" t="s">
        <v>256</v>
      </c>
      <c r="AO95" s="327" t="s">
        <v>259</v>
      </c>
      <c r="AP95" s="62" t="s">
        <v>251</v>
      </c>
      <c r="AQ95" s="62" t="s">
        <v>256</v>
      </c>
      <c r="AR95" s="62" t="s">
        <v>256</v>
      </c>
      <c r="AS95" s="62" t="s">
        <v>285</v>
      </c>
      <c r="AT95" s="62" t="s">
        <v>259</v>
      </c>
      <c r="AU95" s="327" t="s">
        <v>284</v>
      </c>
      <c r="AV95" s="327" t="s">
        <v>259</v>
      </c>
      <c r="AW95" s="62" t="s">
        <v>256</v>
      </c>
      <c r="AX95" s="62" t="s">
        <v>256</v>
      </c>
      <c r="AY95" s="62" t="s">
        <v>256</v>
      </c>
      <c r="AZ95" s="62" t="s">
        <v>256</v>
      </c>
      <c r="BA95" s="62" t="s">
        <v>256</v>
      </c>
      <c r="BB95" s="62" t="s">
        <v>259</v>
      </c>
      <c r="BC95" s="62" t="s">
        <v>286</v>
      </c>
      <c r="BD95" s="62" t="s">
        <v>248</v>
      </c>
      <c r="BE95" s="62" t="s">
        <v>259</v>
      </c>
      <c r="BF95" s="62" t="s">
        <v>248</v>
      </c>
      <c r="BG95" s="327">
        <v>1.07</v>
      </c>
      <c r="BH95" s="327" t="s">
        <v>256</v>
      </c>
      <c r="BI95" s="327" t="s">
        <v>256</v>
      </c>
      <c r="BJ95" s="62" t="s">
        <v>256</v>
      </c>
      <c r="BK95" s="327" t="s">
        <v>256</v>
      </c>
      <c r="BL95" s="327" t="s">
        <v>256</v>
      </c>
      <c r="BM95" s="327" t="s">
        <v>259</v>
      </c>
      <c r="BN95" s="62" t="s">
        <v>256</v>
      </c>
      <c r="BO95" s="62" t="s">
        <v>259</v>
      </c>
      <c r="BP95" s="62" t="s">
        <v>284</v>
      </c>
      <c r="BQ95" s="62" t="s">
        <v>256</v>
      </c>
      <c r="BR95" s="327" t="s">
        <v>256</v>
      </c>
      <c r="BS95" s="327">
        <v>1.5</v>
      </c>
      <c r="BT95" s="327" t="s">
        <v>284</v>
      </c>
      <c r="BU95" s="327">
        <v>2.04</v>
      </c>
      <c r="BV95" s="327" t="s">
        <v>248</v>
      </c>
      <c r="BW95" s="62" t="s">
        <v>285</v>
      </c>
      <c r="BX95" s="62" t="s">
        <v>287</v>
      </c>
      <c r="BY95" s="62" t="s">
        <v>259</v>
      </c>
      <c r="BZ95" s="62" t="s">
        <v>259</v>
      </c>
      <c r="CA95" s="62">
        <v>7.2</v>
      </c>
      <c r="CB95" s="62">
        <v>3.8</v>
      </c>
      <c r="CC95" s="62">
        <v>462</v>
      </c>
      <c r="CD95" s="62">
        <v>0.03</v>
      </c>
      <c r="CE95" s="62">
        <v>0.28000000000000003</v>
      </c>
      <c r="CF95" s="62">
        <v>5.6</v>
      </c>
      <c r="CG95" s="62">
        <v>11</v>
      </c>
      <c r="CH95" s="62">
        <v>1880</v>
      </c>
      <c r="CI95" s="62">
        <v>34</v>
      </c>
      <c r="CJ95" s="62" t="s">
        <v>254</v>
      </c>
      <c r="CK95" s="62">
        <v>178</v>
      </c>
      <c r="CL95" s="62">
        <v>100</v>
      </c>
      <c r="CM95" s="62" t="s">
        <v>288</v>
      </c>
      <c r="CN95" s="62" t="s">
        <v>288</v>
      </c>
      <c r="CO95" s="62">
        <v>30</v>
      </c>
      <c r="CP95" s="62">
        <v>52</v>
      </c>
      <c r="CQ95" s="62" t="s">
        <v>254</v>
      </c>
      <c r="CR95" s="62" t="s">
        <v>254</v>
      </c>
      <c r="CS95" s="62">
        <v>10</v>
      </c>
      <c r="CT95" s="62" t="s">
        <v>284</v>
      </c>
      <c r="CU95" s="62" t="s">
        <v>153</v>
      </c>
      <c r="CV95" s="62">
        <v>500</v>
      </c>
      <c r="CW95" s="62">
        <v>3.1</v>
      </c>
      <c r="CX95" s="62">
        <v>0.64</v>
      </c>
      <c r="CY95" s="62">
        <v>0.36</v>
      </c>
      <c r="CZ95" s="62">
        <v>7.93</v>
      </c>
      <c r="DA95" s="62">
        <v>1.6</v>
      </c>
      <c r="DB95" s="62">
        <v>4400</v>
      </c>
      <c r="DC95" s="62">
        <v>1600</v>
      </c>
      <c r="DD95" s="62">
        <v>24.3</v>
      </c>
      <c r="DE95" s="62">
        <v>3000</v>
      </c>
      <c r="DF95" s="62" t="s">
        <v>289</v>
      </c>
      <c r="DG95" s="62">
        <v>1</v>
      </c>
      <c r="DH95" s="62">
        <v>0.83</v>
      </c>
      <c r="DI95" s="62">
        <v>7000</v>
      </c>
      <c r="DJ95" s="62">
        <v>2400</v>
      </c>
      <c r="DK95" s="62" t="s">
        <v>380</v>
      </c>
      <c r="DL95" s="62" t="s">
        <v>381</v>
      </c>
      <c r="DM95" s="62">
        <v>7.89</v>
      </c>
      <c r="DN95" s="328">
        <v>7.63</v>
      </c>
      <c r="DO95" s="328">
        <v>4368.2299999999996</v>
      </c>
      <c r="DP95" s="328">
        <v>23.16</v>
      </c>
      <c r="DQ95" s="328">
        <v>1.53</v>
      </c>
    </row>
    <row r="96" spans="1:121" hidden="1" x14ac:dyDescent="0.25">
      <c r="A96" s="62" t="s">
        <v>303</v>
      </c>
      <c r="B96" s="56" t="str">
        <f>VLOOKUP(Table3[[#This Row],[Station]], StationName, 2, FALSE)</f>
        <v>L03-316-3 (L03P12)</v>
      </c>
      <c r="C96" s="362">
        <v>1854008</v>
      </c>
      <c r="D96" s="325">
        <v>44411.421527777777</v>
      </c>
      <c r="E96" s="326" t="s">
        <v>293</v>
      </c>
      <c r="F96" s="327" t="s">
        <v>294</v>
      </c>
      <c r="G96" s="327" t="s">
        <v>294</v>
      </c>
      <c r="H96" s="327" t="s">
        <v>294</v>
      </c>
      <c r="I96" s="327" t="s">
        <v>294</v>
      </c>
      <c r="J96" s="327" t="s">
        <v>294</v>
      </c>
      <c r="K96" s="327" t="s">
        <v>294</v>
      </c>
      <c r="L96" s="327" t="s">
        <v>294</v>
      </c>
      <c r="M96" s="327" t="s">
        <v>294</v>
      </c>
      <c r="N96" s="327" t="s">
        <v>294</v>
      </c>
      <c r="O96" s="327" t="s">
        <v>294</v>
      </c>
      <c r="P96" s="62" t="s">
        <v>294</v>
      </c>
      <c r="Q96" s="62" t="s">
        <v>294</v>
      </c>
      <c r="R96" s="62" t="s">
        <v>294</v>
      </c>
      <c r="S96" s="327" t="s">
        <v>294</v>
      </c>
      <c r="T96" s="327" t="s">
        <v>294</v>
      </c>
      <c r="U96" s="327" t="s">
        <v>294</v>
      </c>
      <c r="V96" s="327" t="s">
        <v>294</v>
      </c>
      <c r="W96" s="327" t="s">
        <v>294</v>
      </c>
      <c r="X96" s="327" t="s">
        <v>294</v>
      </c>
      <c r="Y96" s="327" t="s">
        <v>294</v>
      </c>
      <c r="Z96" s="327" t="s">
        <v>294</v>
      </c>
      <c r="AA96" s="327" t="s">
        <v>294</v>
      </c>
      <c r="AB96" s="327" t="s">
        <v>294</v>
      </c>
      <c r="AC96" s="327" t="s">
        <v>294</v>
      </c>
      <c r="AD96" s="327" t="s">
        <v>294</v>
      </c>
      <c r="AE96" s="327" t="s">
        <v>294</v>
      </c>
      <c r="AF96" s="62" t="s">
        <v>294</v>
      </c>
      <c r="AG96" s="62" t="s">
        <v>294</v>
      </c>
      <c r="AH96" s="62" t="s">
        <v>294</v>
      </c>
      <c r="AI96" s="327" t="s">
        <v>294</v>
      </c>
      <c r="AJ96" s="327" t="s">
        <v>294</v>
      </c>
      <c r="AK96" s="327" t="s">
        <v>294</v>
      </c>
      <c r="AL96" s="327" t="s">
        <v>294</v>
      </c>
      <c r="AM96" s="327" t="s">
        <v>294</v>
      </c>
      <c r="AN96" s="327" t="s">
        <v>294</v>
      </c>
      <c r="AO96" s="327" t="s">
        <v>294</v>
      </c>
      <c r="AP96" s="62" t="s">
        <v>294</v>
      </c>
      <c r="AQ96" s="62" t="s">
        <v>294</v>
      </c>
      <c r="AR96" s="62" t="s">
        <v>294</v>
      </c>
      <c r="AS96" s="62" t="s">
        <v>294</v>
      </c>
      <c r="AT96" s="62" t="s">
        <v>294</v>
      </c>
      <c r="AU96" s="327" t="s">
        <v>294</v>
      </c>
      <c r="AV96" s="327" t="s">
        <v>294</v>
      </c>
      <c r="AW96" s="62" t="s">
        <v>294</v>
      </c>
      <c r="AX96" s="62" t="s">
        <v>294</v>
      </c>
      <c r="AY96" s="62" t="s">
        <v>294</v>
      </c>
      <c r="AZ96" s="62" t="s">
        <v>294</v>
      </c>
      <c r="BA96" s="62" t="s">
        <v>294</v>
      </c>
      <c r="BB96" s="62" t="s">
        <v>294</v>
      </c>
      <c r="BC96" s="62" t="s">
        <v>294</v>
      </c>
      <c r="BD96" s="62" t="s">
        <v>294</v>
      </c>
      <c r="BE96" s="62" t="s">
        <v>294</v>
      </c>
      <c r="BF96" s="62" t="s">
        <v>294</v>
      </c>
      <c r="BG96" s="327" t="s">
        <v>294</v>
      </c>
      <c r="BH96" s="327" t="s">
        <v>294</v>
      </c>
      <c r="BI96" s="327" t="s">
        <v>294</v>
      </c>
      <c r="BJ96" s="62" t="s">
        <v>294</v>
      </c>
      <c r="BK96" s="327" t="s">
        <v>294</v>
      </c>
      <c r="BL96" s="327" t="s">
        <v>294</v>
      </c>
      <c r="BM96" s="327" t="s">
        <v>294</v>
      </c>
      <c r="BN96" s="62" t="s">
        <v>294</v>
      </c>
      <c r="BO96" s="62" t="s">
        <v>294</v>
      </c>
      <c r="BP96" s="62" t="s">
        <v>294</v>
      </c>
      <c r="BQ96" s="62" t="s">
        <v>294</v>
      </c>
      <c r="BR96" s="327" t="s">
        <v>294</v>
      </c>
      <c r="BS96" s="327" t="s">
        <v>294</v>
      </c>
      <c r="BT96" s="327" t="s">
        <v>294</v>
      </c>
      <c r="BU96" s="327" t="s">
        <v>294</v>
      </c>
      <c r="BV96" s="327" t="s">
        <v>294</v>
      </c>
      <c r="BW96" s="62" t="s">
        <v>294</v>
      </c>
      <c r="BX96" s="62" t="s">
        <v>294</v>
      </c>
      <c r="BY96" s="62" t="s">
        <v>294</v>
      </c>
      <c r="BZ96" s="62" t="s">
        <v>294</v>
      </c>
      <c r="CA96" s="62">
        <v>7.1</v>
      </c>
      <c r="CB96" s="62">
        <v>3.5</v>
      </c>
      <c r="CC96" s="62" t="s">
        <v>294</v>
      </c>
      <c r="CD96" s="62">
        <v>3.2000000000000001E-2</v>
      </c>
      <c r="CE96" s="62">
        <v>0.67</v>
      </c>
      <c r="CF96" s="62">
        <v>5.0999999999999996</v>
      </c>
      <c r="CG96" s="62" t="s">
        <v>294</v>
      </c>
      <c r="CH96" s="62" t="s">
        <v>294</v>
      </c>
      <c r="CI96" s="62" t="s">
        <v>286</v>
      </c>
      <c r="CJ96" s="62" t="s">
        <v>254</v>
      </c>
      <c r="CK96" s="62" t="s">
        <v>294</v>
      </c>
      <c r="CL96" s="62">
        <v>99</v>
      </c>
      <c r="CM96" s="62" t="s">
        <v>294</v>
      </c>
      <c r="CN96" s="62" t="s">
        <v>288</v>
      </c>
      <c r="CO96" s="62">
        <v>29</v>
      </c>
      <c r="CP96" s="62">
        <v>51</v>
      </c>
      <c r="CQ96" s="62" t="s">
        <v>254</v>
      </c>
      <c r="CR96" s="62" t="s">
        <v>254</v>
      </c>
      <c r="CS96" s="62" t="s">
        <v>294</v>
      </c>
      <c r="CT96" s="62" t="s">
        <v>284</v>
      </c>
      <c r="CU96" s="62" t="s">
        <v>294</v>
      </c>
      <c r="CV96" s="62" t="s">
        <v>294</v>
      </c>
      <c r="CW96" s="62" t="s">
        <v>294</v>
      </c>
      <c r="CX96" s="62" t="s">
        <v>294</v>
      </c>
      <c r="CY96" s="62" t="s">
        <v>294</v>
      </c>
      <c r="CZ96" s="62" t="s">
        <v>294</v>
      </c>
      <c r="DA96" s="62" t="s">
        <v>294</v>
      </c>
      <c r="DB96" s="62" t="s">
        <v>294</v>
      </c>
      <c r="DC96" s="62" t="s">
        <v>294</v>
      </c>
      <c r="DD96" s="62" t="s">
        <v>294</v>
      </c>
      <c r="DE96" s="62" t="s">
        <v>294</v>
      </c>
      <c r="DF96" s="62" t="s">
        <v>294</v>
      </c>
      <c r="DG96" s="62" t="s">
        <v>294</v>
      </c>
      <c r="DH96" s="62" t="s">
        <v>294</v>
      </c>
      <c r="DI96" s="62" t="s">
        <v>294</v>
      </c>
      <c r="DJ96" s="62" t="s">
        <v>294</v>
      </c>
      <c r="DK96" s="62" t="s">
        <v>294</v>
      </c>
      <c r="DL96" s="62" t="s">
        <v>294</v>
      </c>
      <c r="DM96" s="62" t="s">
        <v>294</v>
      </c>
      <c r="DN96" s="328" t="s">
        <v>294</v>
      </c>
      <c r="DO96" s="328" t="s">
        <v>294</v>
      </c>
      <c r="DP96" s="328" t="s">
        <v>294</v>
      </c>
      <c r="DQ96" s="328" t="s">
        <v>294</v>
      </c>
    </row>
    <row r="97" spans="1:121" x14ac:dyDescent="0.25">
      <c r="A97" s="62" t="s">
        <v>111</v>
      </c>
      <c r="B97" s="56" t="str">
        <f>VLOOKUP(Table3[[#This Row],[Station]], StationName, 2, FALSE)</f>
        <v>L01-340-1</v>
      </c>
      <c r="C97" s="362">
        <v>1855002</v>
      </c>
      <c r="D97" s="325">
        <v>44411.454861111109</v>
      </c>
      <c r="E97" s="326" t="s">
        <v>283</v>
      </c>
      <c r="F97" s="327">
        <v>73</v>
      </c>
      <c r="G97" s="327">
        <v>92</v>
      </c>
      <c r="H97" s="327">
        <v>99</v>
      </c>
      <c r="I97" s="327">
        <v>94</v>
      </c>
      <c r="J97" s="327">
        <v>62</v>
      </c>
      <c r="K97" s="327">
        <v>78</v>
      </c>
      <c r="L97" s="327">
        <v>88</v>
      </c>
      <c r="M97" s="327">
        <v>101</v>
      </c>
      <c r="N97" s="327">
        <v>69</v>
      </c>
      <c r="O97" s="327" t="s">
        <v>259</v>
      </c>
      <c r="P97" s="62" t="s">
        <v>259</v>
      </c>
      <c r="Q97" s="62" t="s">
        <v>259</v>
      </c>
      <c r="R97" s="62" t="s">
        <v>259</v>
      </c>
      <c r="S97" s="327" t="s">
        <v>259</v>
      </c>
      <c r="T97" s="327" t="s">
        <v>259</v>
      </c>
      <c r="U97" s="327" t="s">
        <v>256</v>
      </c>
      <c r="V97" s="327" t="s">
        <v>256</v>
      </c>
      <c r="W97" s="327" t="s">
        <v>256</v>
      </c>
      <c r="X97" s="327" t="s">
        <v>256</v>
      </c>
      <c r="Y97" s="327" t="s">
        <v>284</v>
      </c>
      <c r="Z97" s="327" t="s">
        <v>256</v>
      </c>
      <c r="AA97" s="327" t="s">
        <v>256</v>
      </c>
      <c r="AB97" s="327" t="s">
        <v>256</v>
      </c>
      <c r="AC97" s="327" t="s">
        <v>256</v>
      </c>
      <c r="AD97" s="327" t="s">
        <v>256</v>
      </c>
      <c r="AE97" s="327" t="s">
        <v>256</v>
      </c>
      <c r="AF97" s="62" t="s">
        <v>256</v>
      </c>
      <c r="AG97" s="62" t="s">
        <v>256</v>
      </c>
      <c r="AH97" s="62" t="s">
        <v>256</v>
      </c>
      <c r="AI97" s="327" t="s">
        <v>256</v>
      </c>
      <c r="AJ97" s="327" t="s">
        <v>248</v>
      </c>
      <c r="AK97" s="327" t="s">
        <v>259</v>
      </c>
      <c r="AL97" s="327" t="s">
        <v>259</v>
      </c>
      <c r="AM97" s="327" t="s">
        <v>251</v>
      </c>
      <c r="AN97" s="327" t="s">
        <v>256</v>
      </c>
      <c r="AO97" s="327" t="s">
        <v>259</v>
      </c>
      <c r="AP97" s="62" t="s">
        <v>251</v>
      </c>
      <c r="AQ97" s="62" t="s">
        <v>256</v>
      </c>
      <c r="AR97" s="62" t="s">
        <v>256</v>
      </c>
      <c r="AS97" s="62" t="s">
        <v>285</v>
      </c>
      <c r="AT97" s="62" t="s">
        <v>259</v>
      </c>
      <c r="AU97" s="327" t="s">
        <v>284</v>
      </c>
      <c r="AV97" s="327" t="s">
        <v>259</v>
      </c>
      <c r="AW97" s="62" t="s">
        <v>256</v>
      </c>
      <c r="AX97" s="62" t="s">
        <v>256</v>
      </c>
      <c r="AY97" s="62" t="s">
        <v>256</v>
      </c>
      <c r="AZ97" s="62" t="s">
        <v>256</v>
      </c>
      <c r="BA97" s="62" t="s">
        <v>256</v>
      </c>
      <c r="BB97" s="62" t="s">
        <v>259</v>
      </c>
      <c r="BC97" s="62" t="s">
        <v>286</v>
      </c>
      <c r="BD97" s="62" t="s">
        <v>248</v>
      </c>
      <c r="BE97" s="62" t="s">
        <v>259</v>
      </c>
      <c r="BF97" s="62" t="s">
        <v>248</v>
      </c>
      <c r="BG97" s="327">
        <v>1.65</v>
      </c>
      <c r="BH97" s="327" t="s">
        <v>256</v>
      </c>
      <c r="BI97" s="327" t="s">
        <v>256</v>
      </c>
      <c r="BJ97" s="62" t="s">
        <v>256</v>
      </c>
      <c r="BK97" s="327" t="s">
        <v>256</v>
      </c>
      <c r="BL97" s="327" t="s">
        <v>256</v>
      </c>
      <c r="BM97" s="327" t="s">
        <v>259</v>
      </c>
      <c r="BN97" s="62" t="s">
        <v>256</v>
      </c>
      <c r="BO97" s="62" t="s">
        <v>259</v>
      </c>
      <c r="BP97" s="62" t="s">
        <v>284</v>
      </c>
      <c r="BQ97" s="62" t="s">
        <v>256</v>
      </c>
      <c r="BR97" s="327" t="s">
        <v>256</v>
      </c>
      <c r="BS97" s="327">
        <v>1.46</v>
      </c>
      <c r="BT97" s="327" t="s">
        <v>284</v>
      </c>
      <c r="BU97" s="327">
        <v>2.4700000000000002</v>
      </c>
      <c r="BV97" s="327" t="s">
        <v>248</v>
      </c>
      <c r="BW97" s="62" t="s">
        <v>285</v>
      </c>
      <c r="BX97" s="62" t="s">
        <v>287</v>
      </c>
      <c r="BY97" s="62" t="s">
        <v>259</v>
      </c>
      <c r="BZ97" s="62" t="s">
        <v>259</v>
      </c>
      <c r="CA97" s="62">
        <v>4</v>
      </c>
      <c r="CB97" s="62" t="s">
        <v>254</v>
      </c>
      <c r="CC97" s="62">
        <v>151</v>
      </c>
      <c r="CD97" s="62">
        <v>0.15</v>
      </c>
      <c r="CE97" s="62">
        <v>0.36</v>
      </c>
      <c r="CF97" s="62">
        <v>6.5</v>
      </c>
      <c r="CG97" s="62">
        <v>9.9</v>
      </c>
      <c r="CH97" s="62">
        <v>500</v>
      </c>
      <c r="CI97" s="62">
        <v>47</v>
      </c>
      <c r="CJ97" s="62" t="s">
        <v>254</v>
      </c>
      <c r="CK97" s="62">
        <v>29.7</v>
      </c>
      <c r="CL97" s="62">
        <v>9.6</v>
      </c>
      <c r="CM97" s="62" t="s">
        <v>288</v>
      </c>
      <c r="CN97" s="62" t="s">
        <v>288</v>
      </c>
      <c r="CO97" s="62" t="s">
        <v>259</v>
      </c>
      <c r="CP97" s="62">
        <v>1.3</v>
      </c>
      <c r="CQ97" s="62" t="s">
        <v>254</v>
      </c>
      <c r="CR97" s="62" t="s">
        <v>254</v>
      </c>
      <c r="CS97" s="62">
        <v>9.6999999999999993</v>
      </c>
      <c r="CT97" s="62">
        <v>11</v>
      </c>
      <c r="CU97" s="62">
        <v>0.21</v>
      </c>
      <c r="CV97" s="62">
        <v>210</v>
      </c>
      <c r="CW97" s="62">
        <v>2.7</v>
      </c>
      <c r="CX97" s="62">
        <v>1.1000000000000001</v>
      </c>
      <c r="CY97" s="62">
        <v>0.37</v>
      </c>
      <c r="CZ97" s="62">
        <v>7.98</v>
      </c>
      <c r="DA97" s="62">
        <v>1.4</v>
      </c>
      <c r="DB97" s="62">
        <v>1800</v>
      </c>
      <c r="DC97" s="62">
        <v>340</v>
      </c>
      <c r="DD97" s="62">
        <v>24.1</v>
      </c>
      <c r="DE97" s="62">
        <v>1200</v>
      </c>
      <c r="DF97" s="62" t="s">
        <v>289</v>
      </c>
      <c r="DG97" s="62">
        <v>3.6</v>
      </c>
      <c r="DH97" s="62">
        <v>0.63</v>
      </c>
      <c r="DI97" s="62">
        <v>1430</v>
      </c>
      <c r="DJ97" s="62" t="s">
        <v>322</v>
      </c>
      <c r="DK97" s="62">
        <v>200</v>
      </c>
      <c r="DL97" s="62" t="s">
        <v>382</v>
      </c>
      <c r="DM97" s="62">
        <v>8.26</v>
      </c>
      <c r="DN97" s="328">
        <v>8.3800000000000008</v>
      </c>
      <c r="DO97" s="328">
        <v>1749.83</v>
      </c>
      <c r="DP97" s="328">
        <v>24.67</v>
      </c>
      <c r="DQ97" s="328">
        <v>1</v>
      </c>
    </row>
    <row r="98" spans="1:121" hidden="1" x14ac:dyDescent="0.25">
      <c r="A98" s="62" t="s">
        <v>111</v>
      </c>
      <c r="B98" s="56" t="str">
        <f>VLOOKUP(Table3[[#This Row],[Station]], StationName, 2, FALSE)</f>
        <v>L01-340-1</v>
      </c>
      <c r="C98" s="362">
        <v>1855004</v>
      </c>
      <c r="D98" s="325">
        <v>44411.454861111109</v>
      </c>
      <c r="E98" s="326" t="s">
        <v>293</v>
      </c>
      <c r="F98" s="327" t="s">
        <v>294</v>
      </c>
      <c r="G98" s="327" t="s">
        <v>294</v>
      </c>
      <c r="H98" s="327" t="s">
        <v>294</v>
      </c>
      <c r="I98" s="327" t="s">
        <v>294</v>
      </c>
      <c r="J98" s="327" t="s">
        <v>294</v>
      </c>
      <c r="K98" s="327" t="s">
        <v>294</v>
      </c>
      <c r="L98" s="327" t="s">
        <v>294</v>
      </c>
      <c r="M98" s="327" t="s">
        <v>294</v>
      </c>
      <c r="N98" s="327" t="s">
        <v>294</v>
      </c>
      <c r="O98" s="327" t="s">
        <v>294</v>
      </c>
      <c r="P98" s="62" t="s">
        <v>294</v>
      </c>
      <c r="Q98" s="62" t="s">
        <v>294</v>
      </c>
      <c r="R98" s="62" t="s">
        <v>294</v>
      </c>
      <c r="S98" s="327" t="s">
        <v>294</v>
      </c>
      <c r="T98" s="327" t="s">
        <v>294</v>
      </c>
      <c r="U98" s="327" t="s">
        <v>294</v>
      </c>
      <c r="V98" s="327" t="s">
        <v>294</v>
      </c>
      <c r="W98" s="327" t="s">
        <v>294</v>
      </c>
      <c r="X98" s="327" t="s">
        <v>294</v>
      </c>
      <c r="Y98" s="327" t="s">
        <v>294</v>
      </c>
      <c r="Z98" s="327" t="s">
        <v>294</v>
      </c>
      <c r="AA98" s="327" t="s">
        <v>294</v>
      </c>
      <c r="AB98" s="327" t="s">
        <v>294</v>
      </c>
      <c r="AC98" s="327" t="s">
        <v>294</v>
      </c>
      <c r="AD98" s="327" t="s">
        <v>294</v>
      </c>
      <c r="AE98" s="327" t="s">
        <v>294</v>
      </c>
      <c r="AF98" s="62" t="s">
        <v>294</v>
      </c>
      <c r="AG98" s="62" t="s">
        <v>294</v>
      </c>
      <c r="AH98" s="62" t="s">
        <v>294</v>
      </c>
      <c r="AI98" s="327" t="s">
        <v>294</v>
      </c>
      <c r="AJ98" s="327" t="s">
        <v>294</v>
      </c>
      <c r="AK98" s="327" t="s">
        <v>294</v>
      </c>
      <c r="AL98" s="327" t="s">
        <v>294</v>
      </c>
      <c r="AM98" s="327" t="s">
        <v>294</v>
      </c>
      <c r="AN98" s="327" t="s">
        <v>294</v>
      </c>
      <c r="AO98" s="327" t="s">
        <v>294</v>
      </c>
      <c r="AP98" s="62" t="s">
        <v>294</v>
      </c>
      <c r="AQ98" s="62" t="s">
        <v>294</v>
      </c>
      <c r="AR98" s="62" t="s">
        <v>294</v>
      </c>
      <c r="AS98" s="62" t="s">
        <v>294</v>
      </c>
      <c r="AT98" s="62" t="s">
        <v>294</v>
      </c>
      <c r="AU98" s="327" t="s">
        <v>294</v>
      </c>
      <c r="AV98" s="327" t="s">
        <v>294</v>
      </c>
      <c r="AW98" s="62" t="s">
        <v>294</v>
      </c>
      <c r="AX98" s="62" t="s">
        <v>294</v>
      </c>
      <c r="AY98" s="62" t="s">
        <v>294</v>
      </c>
      <c r="AZ98" s="62" t="s">
        <v>294</v>
      </c>
      <c r="BA98" s="62" t="s">
        <v>294</v>
      </c>
      <c r="BB98" s="62" t="s">
        <v>294</v>
      </c>
      <c r="BC98" s="62" t="s">
        <v>294</v>
      </c>
      <c r="BD98" s="62" t="s">
        <v>294</v>
      </c>
      <c r="BE98" s="62" t="s">
        <v>294</v>
      </c>
      <c r="BF98" s="62" t="s">
        <v>294</v>
      </c>
      <c r="BG98" s="327" t="s">
        <v>294</v>
      </c>
      <c r="BH98" s="327" t="s">
        <v>294</v>
      </c>
      <c r="BI98" s="327" t="s">
        <v>294</v>
      </c>
      <c r="BJ98" s="62" t="s">
        <v>294</v>
      </c>
      <c r="BK98" s="327" t="s">
        <v>294</v>
      </c>
      <c r="BL98" s="327" t="s">
        <v>294</v>
      </c>
      <c r="BM98" s="327" t="s">
        <v>294</v>
      </c>
      <c r="BN98" s="62" t="s">
        <v>294</v>
      </c>
      <c r="BO98" s="62" t="s">
        <v>294</v>
      </c>
      <c r="BP98" s="62" t="s">
        <v>294</v>
      </c>
      <c r="BQ98" s="62" t="s">
        <v>294</v>
      </c>
      <c r="BR98" s="327" t="s">
        <v>294</v>
      </c>
      <c r="BS98" s="327" t="s">
        <v>294</v>
      </c>
      <c r="BT98" s="327" t="s">
        <v>294</v>
      </c>
      <c r="BU98" s="327" t="s">
        <v>294</v>
      </c>
      <c r="BV98" s="327" t="s">
        <v>294</v>
      </c>
      <c r="BW98" s="62" t="s">
        <v>294</v>
      </c>
      <c r="BX98" s="62" t="s">
        <v>294</v>
      </c>
      <c r="BY98" s="62" t="s">
        <v>294</v>
      </c>
      <c r="BZ98" s="62" t="s">
        <v>294</v>
      </c>
      <c r="CA98" s="62">
        <v>4</v>
      </c>
      <c r="CB98" s="62" t="s">
        <v>254</v>
      </c>
      <c r="CC98" s="62" t="s">
        <v>294</v>
      </c>
      <c r="CD98" s="62">
        <v>0.19</v>
      </c>
      <c r="CE98" s="62">
        <v>0.36</v>
      </c>
      <c r="CF98" s="62">
        <v>6.1</v>
      </c>
      <c r="CG98" s="62" t="s">
        <v>294</v>
      </c>
      <c r="CH98" s="62" t="s">
        <v>294</v>
      </c>
      <c r="CI98" s="62" t="s">
        <v>286</v>
      </c>
      <c r="CJ98" s="62" t="s">
        <v>254</v>
      </c>
      <c r="CK98" s="62" t="s">
        <v>294</v>
      </c>
      <c r="CL98" s="62">
        <v>8</v>
      </c>
      <c r="CM98" s="62" t="s">
        <v>294</v>
      </c>
      <c r="CN98" s="62" t="s">
        <v>288</v>
      </c>
      <c r="CO98" s="62" t="s">
        <v>259</v>
      </c>
      <c r="CP98" s="62">
        <v>1.2</v>
      </c>
      <c r="CQ98" s="62" t="s">
        <v>254</v>
      </c>
      <c r="CR98" s="62" t="s">
        <v>254</v>
      </c>
      <c r="CS98" s="62" t="s">
        <v>294</v>
      </c>
      <c r="CT98" s="62">
        <v>11</v>
      </c>
      <c r="CU98" s="62" t="s">
        <v>294</v>
      </c>
      <c r="CV98" s="62" t="s">
        <v>294</v>
      </c>
      <c r="CW98" s="62" t="s">
        <v>294</v>
      </c>
      <c r="CX98" s="62" t="s">
        <v>294</v>
      </c>
      <c r="CY98" s="62" t="s">
        <v>294</v>
      </c>
      <c r="CZ98" s="62" t="s">
        <v>294</v>
      </c>
      <c r="DA98" s="62" t="s">
        <v>294</v>
      </c>
      <c r="DB98" s="62" t="s">
        <v>294</v>
      </c>
      <c r="DC98" s="62" t="s">
        <v>294</v>
      </c>
      <c r="DD98" s="62" t="s">
        <v>294</v>
      </c>
      <c r="DE98" s="62" t="s">
        <v>294</v>
      </c>
      <c r="DF98" s="62" t="s">
        <v>294</v>
      </c>
      <c r="DG98" s="62" t="s">
        <v>294</v>
      </c>
      <c r="DH98" s="62" t="s">
        <v>294</v>
      </c>
      <c r="DI98" s="62" t="s">
        <v>294</v>
      </c>
      <c r="DJ98" s="62" t="s">
        <v>294</v>
      </c>
      <c r="DK98" s="62" t="s">
        <v>294</v>
      </c>
      <c r="DL98" s="62" t="s">
        <v>294</v>
      </c>
      <c r="DM98" s="62" t="s">
        <v>294</v>
      </c>
      <c r="DN98" s="328" t="s">
        <v>294</v>
      </c>
      <c r="DO98" s="328" t="s">
        <v>294</v>
      </c>
      <c r="DP98" s="328" t="s">
        <v>294</v>
      </c>
      <c r="DQ98" s="328" t="s">
        <v>294</v>
      </c>
    </row>
    <row r="99" spans="1:121" x14ac:dyDescent="0.25">
      <c r="A99" s="62" t="s">
        <v>367</v>
      </c>
      <c r="B99" s="56" t="str">
        <f>VLOOKUP(Table3[[#This Row],[Station]], StationName, 2, FALSE)</f>
        <v>L02-246-1 (L11P01)</v>
      </c>
      <c r="C99" s="362">
        <v>1874001</v>
      </c>
      <c r="D99" s="325">
        <v>44417.352777777778</v>
      </c>
      <c r="E99" s="326" t="s">
        <v>283</v>
      </c>
      <c r="F99" s="327">
        <v>73</v>
      </c>
      <c r="G99" s="327">
        <v>95</v>
      </c>
      <c r="H99" s="327">
        <v>101</v>
      </c>
      <c r="I99" s="327">
        <v>95</v>
      </c>
      <c r="J99" s="327">
        <v>61</v>
      </c>
      <c r="K99" s="327">
        <v>78</v>
      </c>
      <c r="L99" s="327">
        <v>93</v>
      </c>
      <c r="M99" s="327">
        <v>97</v>
      </c>
      <c r="N99" s="327">
        <v>69</v>
      </c>
      <c r="O99" s="327" t="s">
        <v>259</v>
      </c>
      <c r="P99" s="62" t="s">
        <v>259</v>
      </c>
      <c r="Q99" s="62" t="s">
        <v>259</v>
      </c>
      <c r="R99" s="62" t="s">
        <v>259</v>
      </c>
      <c r="S99" s="327" t="s">
        <v>259</v>
      </c>
      <c r="T99" s="327" t="s">
        <v>259</v>
      </c>
      <c r="U99" s="327" t="s">
        <v>256</v>
      </c>
      <c r="V99" s="327" t="s">
        <v>256</v>
      </c>
      <c r="W99" s="327" t="s">
        <v>256</v>
      </c>
      <c r="X99" s="327" t="s">
        <v>256</v>
      </c>
      <c r="Y99" s="327" t="s">
        <v>284</v>
      </c>
      <c r="Z99" s="327" t="s">
        <v>256</v>
      </c>
      <c r="AA99" s="327" t="s">
        <v>256</v>
      </c>
      <c r="AB99" s="327" t="s">
        <v>256</v>
      </c>
      <c r="AC99" s="327" t="s">
        <v>256</v>
      </c>
      <c r="AD99" s="327" t="s">
        <v>256</v>
      </c>
      <c r="AE99" s="327" t="s">
        <v>256</v>
      </c>
      <c r="AF99" s="62" t="s">
        <v>256</v>
      </c>
      <c r="AG99" s="62" t="s">
        <v>256</v>
      </c>
      <c r="AH99" s="62" t="s">
        <v>256</v>
      </c>
      <c r="AI99" s="327" t="s">
        <v>256</v>
      </c>
      <c r="AJ99" s="327" t="s">
        <v>248</v>
      </c>
      <c r="AK99" s="327" t="s">
        <v>259</v>
      </c>
      <c r="AL99" s="327" t="s">
        <v>259</v>
      </c>
      <c r="AM99" s="327" t="s">
        <v>251</v>
      </c>
      <c r="AN99" s="327" t="s">
        <v>256</v>
      </c>
      <c r="AO99" s="327" t="s">
        <v>259</v>
      </c>
      <c r="AP99" s="62" t="s">
        <v>251</v>
      </c>
      <c r="AQ99" s="62" t="s">
        <v>256</v>
      </c>
      <c r="AR99" s="62" t="s">
        <v>256</v>
      </c>
      <c r="AS99" s="62" t="s">
        <v>285</v>
      </c>
      <c r="AT99" s="62" t="s">
        <v>259</v>
      </c>
      <c r="AU99" s="327" t="s">
        <v>284</v>
      </c>
      <c r="AV99" s="327" t="s">
        <v>259</v>
      </c>
      <c r="AW99" s="62" t="s">
        <v>256</v>
      </c>
      <c r="AX99" s="62" t="s">
        <v>256</v>
      </c>
      <c r="AY99" s="62" t="s">
        <v>256</v>
      </c>
      <c r="AZ99" s="62" t="s">
        <v>256</v>
      </c>
      <c r="BA99" s="62" t="s">
        <v>256</v>
      </c>
      <c r="BB99" s="62" t="s">
        <v>259</v>
      </c>
      <c r="BC99" s="62" t="s">
        <v>286</v>
      </c>
      <c r="BD99" s="62" t="s">
        <v>248</v>
      </c>
      <c r="BE99" s="62" t="s">
        <v>259</v>
      </c>
      <c r="BF99" s="62" t="s">
        <v>248</v>
      </c>
      <c r="BG99" s="327" t="s">
        <v>256</v>
      </c>
      <c r="BH99" s="327" t="s">
        <v>256</v>
      </c>
      <c r="BI99" s="327" t="s">
        <v>256</v>
      </c>
      <c r="BJ99" s="62" t="s">
        <v>256</v>
      </c>
      <c r="BK99" s="327" t="s">
        <v>256</v>
      </c>
      <c r="BL99" s="327" t="s">
        <v>256</v>
      </c>
      <c r="BM99" s="327" t="s">
        <v>259</v>
      </c>
      <c r="BN99" s="62" t="s">
        <v>256</v>
      </c>
      <c r="BO99" s="62" t="s">
        <v>259</v>
      </c>
      <c r="BP99" s="62" t="s">
        <v>284</v>
      </c>
      <c r="BQ99" s="62" t="s">
        <v>256</v>
      </c>
      <c r="BR99" s="327" t="s">
        <v>256</v>
      </c>
      <c r="BS99" s="327">
        <v>2.46</v>
      </c>
      <c r="BT99" s="327" t="s">
        <v>284</v>
      </c>
      <c r="BU99" s="327">
        <v>1.93</v>
      </c>
      <c r="BV99" s="327" t="s">
        <v>248</v>
      </c>
      <c r="BW99" s="62" t="s">
        <v>285</v>
      </c>
      <c r="BX99" s="62" t="s">
        <v>287</v>
      </c>
      <c r="BY99" s="62" t="s">
        <v>259</v>
      </c>
      <c r="BZ99" s="62" t="s">
        <v>259</v>
      </c>
      <c r="CA99" s="62">
        <v>2.6</v>
      </c>
      <c r="CB99" s="62" t="s">
        <v>254</v>
      </c>
      <c r="CC99" s="62">
        <v>142</v>
      </c>
      <c r="CD99" s="62">
        <v>8.4000000000000005E-2</v>
      </c>
      <c r="CE99" s="62">
        <v>0.33</v>
      </c>
      <c r="CF99" s="62">
        <v>9.9</v>
      </c>
      <c r="CG99" s="62">
        <v>21</v>
      </c>
      <c r="CH99" s="62">
        <v>555</v>
      </c>
      <c r="CI99" s="62">
        <v>64</v>
      </c>
      <c r="CJ99" s="62" t="s">
        <v>254</v>
      </c>
      <c r="CK99" s="62">
        <v>48.9</v>
      </c>
      <c r="CL99" s="62">
        <v>10</v>
      </c>
      <c r="CM99" s="62" t="s">
        <v>288</v>
      </c>
      <c r="CN99" s="62" t="s">
        <v>288</v>
      </c>
      <c r="CO99" s="62" t="s">
        <v>259</v>
      </c>
      <c r="CP99" s="62">
        <v>1.4</v>
      </c>
      <c r="CQ99" s="62" t="s">
        <v>254</v>
      </c>
      <c r="CR99" s="62" t="s">
        <v>254</v>
      </c>
      <c r="CS99" s="62">
        <v>21</v>
      </c>
      <c r="CT99" s="62">
        <v>15</v>
      </c>
      <c r="CU99" s="62">
        <v>0.35</v>
      </c>
      <c r="CV99" s="62">
        <v>210</v>
      </c>
      <c r="CW99" s="62">
        <v>4.3</v>
      </c>
      <c r="CX99" s="62">
        <v>2.8</v>
      </c>
      <c r="CY99" s="62">
        <v>0.65</v>
      </c>
      <c r="CZ99" s="62">
        <v>7.89</v>
      </c>
      <c r="DA99" s="62">
        <v>2.4</v>
      </c>
      <c r="DB99" s="62">
        <v>1800</v>
      </c>
      <c r="DC99" s="62">
        <v>360</v>
      </c>
      <c r="DD99" s="62">
        <v>23.7</v>
      </c>
      <c r="DE99" s="62">
        <v>1100</v>
      </c>
      <c r="DF99" s="62" t="s">
        <v>284</v>
      </c>
      <c r="DG99" s="62">
        <v>3</v>
      </c>
      <c r="DH99" s="62">
        <v>4.0999999999999996</v>
      </c>
      <c r="DI99" s="62">
        <v>66000</v>
      </c>
      <c r="DJ99" s="62" t="s">
        <v>383</v>
      </c>
      <c r="DK99" s="62" t="s">
        <v>362</v>
      </c>
      <c r="DL99" s="62" t="s">
        <v>384</v>
      </c>
      <c r="DM99" s="62">
        <v>8.02</v>
      </c>
      <c r="DN99" s="328">
        <v>8.4</v>
      </c>
      <c r="DO99" s="328">
        <v>1260</v>
      </c>
      <c r="DP99" s="328">
        <v>21.64</v>
      </c>
      <c r="DQ99" s="328">
        <v>2.98</v>
      </c>
    </row>
    <row r="100" spans="1:121" hidden="1" x14ac:dyDescent="0.25">
      <c r="A100" s="62" t="s">
        <v>367</v>
      </c>
      <c r="B100" s="56" t="str">
        <f>VLOOKUP(Table3[[#This Row],[Station]], StationName, 2, FALSE)</f>
        <v>L02-246-1 (L11P01)</v>
      </c>
      <c r="C100" s="362">
        <v>1874006</v>
      </c>
      <c r="D100" s="325">
        <v>44417.352777777778</v>
      </c>
      <c r="E100" s="326" t="s">
        <v>293</v>
      </c>
      <c r="F100" s="327" t="s">
        <v>294</v>
      </c>
      <c r="G100" s="327" t="s">
        <v>294</v>
      </c>
      <c r="H100" s="327" t="s">
        <v>294</v>
      </c>
      <c r="I100" s="327" t="s">
        <v>294</v>
      </c>
      <c r="J100" s="327" t="s">
        <v>294</v>
      </c>
      <c r="K100" s="327" t="s">
        <v>294</v>
      </c>
      <c r="L100" s="327" t="s">
        <v>294</v>
      </c>
      <c r="M100" s="327" t="s">
        <v>294</v>
      </c>
      <c r="N100" s="327" t="s">
        <v>294</v>
      </c>
      <c r="O100" s="327" t="s">
        <v>294</v>
      </c>
      <c r="P100" s="62" t="s">
        <v>294</v>
      </c>
      <c r="Q100" s="62" t="s">
        <v>294</v>
      </c>
      <c r="R100" s="62" t="s">
        <v>294</v>
      </c>
      <c r="S100" s="327" t="s">
        <v>294</v>
      </c>
      <c r="T100" s="327" t="s">
        <v>294</v>
      </c>
      <c r="U100" s="327" t="s">
        <v>294</v>
      </c>
      <c r="V100" s="327" t="s">
        <v>294</v>
      </c>
      <c r="W100" s="327" t="s">
        <v>294</v>
      </c>
      <c r="X100" s="327" t="s">
        <v>294</v>
      </c>
      <c r="Y100" s="327" t="s">
        <v>294</v>
      </c>
      <c r="Z100" s="327" t="s">
        <v>294</v>
      </c>
      <c r="AA100" s="327" t="s">
        <v>294</v>
      </c>
      <c r="AB100" s="327" t="s">
        <v>294</v>
      </c>
      <c r="AC100" s="327" t="s">
        <v>294</v>
      </c>
      <c r="AD100" s="327" t="s">
        <v>294</v>
      </c>
      <c r="AE100" s="327" t="s">
        <v>294</v>
      </c>
      <c r="AF100" s="62" t="s">
        <v>294</v>
      </c>
      <c r="AG100" s="62" t="s">
        <v>294</v>
      </c>
      <c r="AH100" s="62" t="s">
        <v>294</v>
      </c>
      <c r="AI100" s="327" t="s">
        <v>294</v>
      </c>
      <c r="AJ100" s="327" t="s">
        <v>294</v>
      </c>
      <c r="AK100" s="327" t="s">
        <v>294</v>
      </c>
      <c r="AL100" s="327" t="s">
        <v>294</v>
      </c>
      <c r="AM100" s="327" t="s">
        <v>294</v>
      </c>
      <c r="AN100" s="327" t="s">
        <v>294</v>
      </c>
      <c r="AO100" s="327" t="s">
        <v>294</v>
      </c>
      <c r="AP100" s="62" t="s">
        <v>294</v>
      </c>
      <c r="AQ100" s="62" t="s">
        <v>294</v>
      </c>
      <c r="AR100" s="62" t="s">
        <v>294</v>
      </c>
      <c r="AS100" s="62" t="s">
        <v>294</v>
      </c>
      <c r="AT100" s="62" t="s">
        <v>294</v>
      </c>
      <c r="AU100" s="327" t="s">
        <v>294</v>
      </c>
      <c r="AV100" s="327" t="s">
        <v>294</v>
      </c>
      <c r="AW100" s="62" t="s">
        <v>294</v>
      </c>
      <c r="AX100" s="62" t="s">
        <v>294</v>
      </c>
      <c r="AY100" s="62" t="s">
        <v>294</v>
      </c>
      <c r="AZ100" s="62" t="s">
        <v>294</v>
      </c>
      <c r="BA100" s="62" t="s">
        <v>294</v>
      </c>
      <c r="BB100" s="62" t="s">
        <v>294</v>
      </c>
      <c r="BC100" s="62" t="s">
        <v>294</v>
      </c>
      <c r="BD100" s="62" t="s">
        <v>294</v>
      </c>
      <c r="BE100" s="62" t="s">
        <v>294</v>
      </c>
      <c r="BF100" s="62" t="s">
        <v>294</v>
      </c>
      <c r="BG100" s="327" t="s">
        <v>294</v>
      </c>
      <c r="BH100" s="327" t="s">
        <v>294</v>
      </c>
      <c r="BI100" s="327" t="s">
        <v>294</v>
      </c>
      <c r="BJ100" s="62" t="s">
        <v>294</v>
      </c>
      <c r="BK100" s="327" t="s">
        <v>294</v>
      </c>
      <c r="BL100" s="327" t="s">
        <v>294</v>
      </c>
      <c r="BM100" s="327" t="s">
        <v>294</v>
      </c>
      <c r="BN100" s="62" t="s">
        <v>294</v>
      </c>
      <c r="BO100" s="62" t="s">
        <v>294</v>
      </c>
      <c r="BP100" s="62" t="s">
        <v>294</v>
      </c>
      <c r="BQ100" s="62" t="s">
        <v>294</v>
      </c>
      <c r="BR100" s="327" t="s">
        <v>294</v>
      </c>
      <c r="BS100" s="327" t="s">
        <v>294</v>
      </c>
      <c r="BT100" s="327" t="s">
        <v>294</v>
      </c>
      <c r="BU100" s="327" t="s">
        <v>294</v>
      </c>
      <c r="BV100" s="327" t="s">
        <v>294</v>
      </c>
      <c r="BW100" s="62" t="s">
        <v>294</v>
      </c>
      <c r="BX100" s="62" t="s">
        <v>294</v>
      </c>
      <c r="BY100" s="62" t="s">
        <v>294</v>
      </c>
      <c r="BZ100" s="62" t="s">
        <v>294</v>
      </c>
      <c r="CA100" s="62">
        <v>2.6</v>
      </c>
      <c r="CB100" s="62" t="s">
        <v>254</v>
      </c>
      <c r="CC100" s="62" t="s">
        <v>294</v>
      </c>
      <c r="CD100" s="62">
        <v>0.15</v>
      </c>
      <c r="CE100" s="62">
        <v>0.34</v>
      </c>
      <c r="CF100" s="62">
        <v>8.6</v>
      </c>
      <c r="CG100" s="62" t="s">
        <v>294</v>
      </c>
      <c r="CH100" s="62" t="s">
        <v>294</v>
      </c>
      <c r="CI100" s="62">
        <v>31</v>
      </c>
      <c r="CJ100" s="62" t="s">
        <v>254</v>
      </c>
      <c r="CK100" s="62" t="s">
        <v>294</v>
      </c>
      <c r="CL100" s="62">
        <v>8.1999999999999993</v>
      </c>
      <c r="CM100" s="62" t="s">
        <v>294</v>
      </c>
      <c r="CN100" s="62" t="s">
        <v>288</v>
      </c>
      <c r="CO100" s="62" t="s">
        <v>259</v>
      </c>
      <c r="CP100" s="62">
        <v>1.4</v>
      </c>
      <c r="CQ100" s="62" t="s">
        <v>254</v>
      </c>
      <c r="CR100" s="62" t="s">
        <v>254</v>
      </c>
      <c r="CS100" s="62" t="s">
        <v>294</v>
      </c>
      <c r="CT100" s="62">
        <v>12</v>
      </c>
      <c r="CU100" s="62" t="s">
        <v>294</v>
      </c>
      <c r="CV100" s="62" t="s">
        <v>294</v>
      </c>
      <c r="CW100" s="62" t="s">
        <v>294</v>
      </c>
      <c r="CX100" s="62" t="s">
        <v>294</v>
      </c>
      <c r="CY100" s="62" t="s">
        <v>294</v>
      </c>
      <c r="CZ100" s="62" t="s">
        <v>294</v>
      </c>
      <c r="DA100" s="62" t="s">
        <v>294</v>
      </c>
      <c r="DB100" s="62" t="s">
        <v>294</v>
      </c>
      <c r="DC100" s="62" t="s">
        <v>294</v>
      </c>
      <c r="DD100" s="62" t="s">
        <v>294</v>
      </c>
      <c r="DE100" s="62" t="s">
        <v>294</v>
      </c>
      <c r="DF100" s="62" t="s">
        <v>294</v>
      </c>
      <c r="DG100" s="62" t="s">
        <v>294</v>
      </c>
      <c r="DH100" s="62" t="s">
        <v>294</v>
      </c>
      <c r="DI100" s="62" t="s">
        <v>294</v>
      </c>
      <c r="DJ100" s="62" t="s">
        <v>294</v>
      </c>
      <c r="DK100" s="62" t="s">
        <v>294</v>
      </c>
      <c r="DL100" s="62" t="s">
        <v>294</v>
      </c>
      <c r="DM100" s="62" t="s">
        <v>294</v>
      </c>
      <c r="DN100" s="328" t="s">
        <v>294</v>
      </c>
      <c r="DO100" s="328" t="s">
        <v>294</v>
      </c>
      <c r="DP100" s="328" t="s">
        <v>294</v>
      </c>
      <c r="DQ100" s="328" t="s">
        <v>294</v>
      </c>
    </row>
    <row r="101" spans="1:121" x14ac:dyDescent="0.25">
      <c r="A101" s="62" t="s">
        <v>370</v>
      </c>
      <c r="B101" s="56" t="str">
        <f>VLOOKUP(Table3[[#This Row],[Station]], StationName, 2, FALSE)</f>
        <v>L02-166-3 (L02P26)</v>
      </c>
      <c r="C101" s="362">
        <v>1874005</v>
      </c>
      <c r="D101" s="325">
        <v>44417.365277777775</v>
      </c>
      <c r="E101" s="326" t="s">
        <v>283</v>
      </c>
      <c r="F101" s="327">
        <v>74</v>
      </c>
      <c r="G101" s="327">
        <v>86</v>
      </c>
      <c r="H101" s="327">
        <v>97</v>
      </c>
      <c r="I101" s="327">
        <v>82</v>
      </c>
      <c r="J101" s="327">
        <v>70</v>
      </c>
      <c r="K101" s="327">
        <v>63</v>
      </c>
      <c r="L101" s="327">
        <v>64</v>
      </c>
      <c r="M101" s="327">
        <v>64</v>
      </c>
      <c r="N101" s="327">
        <v>60</v>
      </c>
      <c r="O101" s="327" t="s">
        <v>259</v>
      </c>
      <c r="P101" s="62" t="s">
        <v>259</v>
      </c>
      <c r="Q101" s="62" t="s">
        <v>259</v>
      </c>
      <c r="R101" s="62" t="s">
        <v>259</v>
      </c>
      <c r="S101" s="327" t="s">
        <v>259</v>
      </c>
      <c r="T101" s="327" t="s">
        <v>259</v>
      </c>
      <c r="U101" s="327" t="s">
        <v>256</v>
      </c>
      <c r="V101" s="327" t="s">
        <v>256</v>
      </c>
      <c r="W101" s="327" t="s">
        <v>256</v>
      </c>
      <c r="X101" s="327" t="s">
        <v>256</v>
      </c>
      <c r="Y101" s="327" t="s">
        <v>284</v>
      </c>
      <c r="Z101" s="327" t="s">
        <v>256</v>
      </c>
      <c r="AA101" s="327" t="s">
        <v>256</v>
      </c>
      <c r="AB101" s="327" t="s">
        <v>256</v>
      </c>
      <c r="AC101" s="327" t="s">
        <v>256</v>
      </c>
      <c r="AD101" s="327" t="s">
        <v>256</v>
      </c>
      <c r="AE101" s="327" t="s">
        <v>256</v>
      </c>
      <c r="AF101" s="62" t="s">
        <v>256</v>
      </c>
      <c r="AG101" s="62" t="s">
        <v>256</v>
      </c>
      <c r="AH101" s="62" t="s">
        <v>256</v>
      </c>
      <c r="AI101" s="327" t="s">
        <v>256</v>
      </c>
      <c r="AJ101" s="327" t="s">
        <v>248</v>
      </c>
      <c r="AK101" s="327" t="s">
        <v>259</v>
      </c>
      <c r="AL101" s="327" t="s">
        <v>259</v>
      </c>
      <c r="AM101" s="327" t="s">
        <v>251</v>
      </c>
      <c r="AN101" s="327" t="s">
        <v>256</v>
      </c>
      <c r="AO101" s="327" t="s">
        <v>259</v>
      </c>
      <c r="AP101" s="62" t="s">
        <v>251</v>
      </c>
      <c r="AQ101" s="62" t="s">
        <v>256</v>
      </c>
      <c r="AR101" s="62" t="s">
        <v>256</v>
      </c>
      <c r="AS101" s="62" t="s">
        <v>285</v>
      </c>
      <c r="AT101" s="62" t="s">
        <v>259</v>
      </c>
      <c r="AU101" s="327" t="s">
        <v>284</v>
      </c>
      <c r="AV101" s="327" t="s">
        <v>259</v>
      </c>
      <c r="AW101" s="62" t="s">
        <v>256</v>
      </c>
      <c r="AX101" s="62" t="s">
        <v>256</v>
      </c>
      <c r="AY101" s="62" t="s">
        <v>256</v>
      </c>
      <c r="AZ101" s="62" t="s">
        <v>256</v>
      </c>
      <c r="BA101" s="62" t="s">
        <v>256</v>
      </c>
      <c r="BB101" s="62" t="s">
        <v>259</v>
      </c>
      <c r="BC101" s="62" t="s">
        <v>286</v>
      </c>
      <c r="BD101" s="62" t="s">
        <v>248</v>
      </c>
      <c r="BE101" s="62" t="s">
        <v>259</v>
      </c>
      <c r="BF101" s="62" t="s">
        <v>248</v>
      </c>
      <c r="BG101" s="327">
        <v>1.71</v>
      </c>
      <c r="BH101" s="327" t="s">
        <v>256</v>
      </c>
      <c r="BI101" s="327" t="s">
        <v>256</v>
      </c>
      <c r="BJ101" s="62" t="s">
        <v>256</v>
      </c>
      <c r="BK101" s="327" t="s">
        <v>256</v>
      </c>
      <c r="BL101" s="327" t="s">
        <v>256</v>
      </c>
      <c r="BM101" s="327" t="s">
        <v>259</v>
      </c>
      <c r="BN101" s="62" t="s">
        <v>256</v>
      </c>
      <c r="BO101" s="62" t="s">
        <v>259</v>
      </c>
      <c r="BP101" s="62" t="s">
        <v>284</v>
      </c>
      <c r="BQ101" s="62" t="s">
        <v>256</v>
      </c>
      <c r="BR101" s="327" t="s">
        <v>256</v>
      </c>
      <c r="BS101" s="327">
        <v>1.42</v>
      </c>
      <c r="BT101" s="327" t="s">
        <v>284</v>
      </c>
      <c r="BU101" s="327">
        <v>2.33</v>
      </c>
      <c r="BV101" s="327" t="s">
        <v>248</v>
      </c>
      <c r="BW101" s="62" t="s">
        <v>285</v>
      </c>
      <c r="BX101" s="62" t="s">
        <v>287</v>
      </c>
      <c r="BY101" s="62" t="s">
        <v>259</v>
      </c>
      <c r="BZ101" s="62" t="s">
        <v>259</v>
      </c>
      <c r="CA101" s="62">
        <v>3.5</v>
      </c>
      <c r="CB101" s="62" t="s">
        <v>254</v>
      </c>
      <c r="CC101" s="62">
        <v>110</v>
      </c>
      <c r="CD101" s="62">
        <v>0.11</v>
      </c>
      <c r="CE101" s="62">
        <v>0.31</v>
      </c>
      <c r="CF101" s="62">
        <v>4.9000000000000004</v>
      </c>
      <c r="CG101" s="62">
        <v>7.7</v>
      </c>
      <c r="CH101" s="62">
        <v>428</v>
      </c>
      <c r="CI101" s="62">
        <v>130</v>
      </c>
      <c r="CJ101" s="62" t="s">
        <v>254</v>
      </c>
      <c r="CK101" s="62">
        <v>37.1</v>
      </c>
      <c r="CL101" s="62">
        <v>13</v>
      </c>
      <c r="CM101" s="62" t="s">
        <v>288</v>
      </c>
      <c r="CN101" s="62" t="s">
        <v>288</v>
      </c>
      <c r="CO101" s="62" t="s">
        <v>259</v>
      </c>
      <c r="CP101" s="62">
        <v>1.5</v>
      </c>
      <c r="CQ101" s="62" t="s">
        <v>254</v>
      </c>
      <c r="CR101" s="62" t="s">
        <v>254</v>
      </c>
      <c r="CS101" s="62">
        <v>7.8</v>
      </c>
      <c r="CT101" s="62" t="s">
        <v>284</v>
      </c>
      <c r="CU101" s="62" t="s">
        <v>153</v>
      </c>
      <c r="CV101" s="62">
        <v>160</v>
      </c>
      <c r="CW101" s="62">
        <v>0.81</v>
      </c>
      <c r="CX101" s="62">
        <v>0.62</v>
      </c>
      <c r="CY101" s="62">
        <v>0.25</v>
      </c>
      <c r="CZ101" s="62">
        <v>7.68</v>
      </c>
      <c r="DA101" s="62">
        <v>1.2</v>
      </c>
      <c r="DB101" s="62">
        <v>1400</v>
      </c>
      <c r="DC101" s="62">
        <v>310</v>
      </c>
      <c r="DD101" s="62">
        <v>23.5</v>
      </c>
      <c r="DE101" s="62">
        <v>860</v>
      </c>
      <c r="DF101" s="62" t="s">
        <v>289</v>
      </c>
      <c r="DG101" s="62">
        <v>3.8</v>
      </c>
      <c r="DH101" s="62">
        <v>1.2</v>
      </c>
      <c r="DI101" s="62">
        <v>82000</v>
      </c>
      <c r="DJ101" s="62" t="s">
        <v>385</v>
      </c>
      <c r="DK101" s="62" t="s">
        <v>351</v>
      </c>
      <c r="DL101" s="62" t="s">
        <v>386</v>
      </c>
      <c r="DM101" s="62">
        <v>8.58</v>
      </c>
      <c r="DN101" s="328">
        <v>8.27</v>
      </c>
      <c r="DO101" s="328">
        <v>1371</v>
      </c>
      <c r="DP101" s="328">
        <v>20.78</v>
      </c>
      <c r="DQ101" s="328">
        <v>7.59</v>
      </c>
    </row>
    <row r="102" spans="1:121" hidden="1" x14ac:dyDescent="0.25">
      <c r="A102" s="62" t="s">
        <v>370</v>
      </c>
      <c r="B102" s="56" t="str">
        <f>VLOOKUP(Table3[[#This Row],[Station]], StationName, 2, FALSE)</f>
        <v>L02-166-3 (L02P26)</v>
      </c>
      <c r="C102" s="362">
        <v>1874010</v>
      </c>
      <c r="D102" s="325">
        <v>44417.365277777775</v>
      </c>
      <c r="E102" s="326" t="s">
        <v>293</v>
      </c>
      <c r="F102" s="327" t="s">
        <v>294</v>
      </c>
      <c r="G102" s="327" t="s">
        <v>294</v>
      </c>
      <c r="H102" s="327" t="s">
        <v>294</v>
      </c>
      <c r="I102" s="327" t="s">
        <v>294</v>
      </c>
      <c r="J102" s="327" t="s">
        <v>294</v>
      </c>
      <c r="K102" s="327" t="s">
        <v>294</v>
      </c>
      <c r="L102" s="327" t="s">
        <v>294</v>
      </c>
      <c r="M102" s="327" t="s">
        <v>294</v>
      </c>
      <c r="N102" s="327" t="s">
        <v>294</v>
      </c>
      <c r="O102" s="327" t="s">
        <v>294</v>
      </c>
      <c r="P102" s="62" t="s">
        <v>294</v>
      </c>
      <c r="Q102" s="62" t="s">
        <v>294</v>
      </c>
      <c r="R102" s="62" t="s">
        <v>294</v>
      </c>
      <c r="S102" s="327" t="s">
        <v>294</v>
      </c>
      <c r="T102" s="327" t="s">
        <v>294</v>
      </c>
      <c r="U102" s="327" t="s">
        <v>294</v>
      </c>
      <c r="V102" s="327" t="s">
        <v>294</v>
      </c>
      <c r="W102" s="327" t="s">
        <v>294</v>
      </c>
      <c r="X102" s="327" t="s">
        <v>294</v>
      </c>
      <c r="Y102" s="327" t="s">
        <v>294</v>
      </c>
      <c r="Z102" s="327" t="s">
        <v>294</v>
      </c>
      <c r="AA102" s="327" t="s">
        <v>294</v>
      </c>
      <c r="AB102" s="327" t="s">
        <v>294</v>
      </c>
      <c r="AC102" s="327" t="s">
        <v>294</v>
      </c>
      <c r="AD102" s="327" t="s">
        <v>294</v>
      </c>
      <c r="AE102" s="327" t="s">
        <v>294</v>
      </c>
      <c r="AF102" s="62" t="s">
        <v>294</v>
      </c>
      <c r="AG102" s="62" t="s">
        <v>294</v>
      </c>
      <c r="AH102" s="62" t="s">
        <v>294</v>
      </c>
      <c r="AI102" s="327" t="s">
        <v>294</v>
      </c>
      <c r="AJ102" s="327" t="s">
        <v>294</v>
      </c>
      <c r="AK102" s="327" t="s">
        <v>294</v>
      </c>
      <c r="AL102" s="327" t="s">
        <v>294</v>
      </c>
      <c r="AM102" s="327" t="s">
        <v>294</v>
      </c>
      <c r="AN102" s="327" t="s">
        <v>294</v>
      </c>
      <c r="AO102" s="327" t="s">
        <v>294</v>
      </c>
      <c r="AP102" s="62" t="s">
        <v>294</v>
      </c>
      <c r="AQ102" s="62" t="s">
        <v>294</v>
      </c>
      <c r="AR102" s="62" t="s">
        <v>294</v>
      </c>
      <c r="AS102" s="62" t="s">
        <v>294</v>
      </c>
      <c r="AT102" s="62" t="s">
        <v>294</v>
      </c>
      <c r="AU102" s="327" t="s">
        <v>294</v>
      </c>
      <c r="AV102" s="327" t="s">
        <v>294</v>
      </c>
      <c r="AW102" s="62" t="s">
        <v>294</v>
      </c>
      <c r="AX102" s="62" t="s">
        <v>294</v>
      </c>
      <c r="AY102" s="62" t="s">
        <v>294</v>
      </c>
      <c r="AZ102" s="62" t="s">
        <v>294</v>
      </c>
      <c r="BA102" s="62" t="s">
        <v>294</v>
      </c>
      <c r="BB102" s="62" t="s">
        <v>294</v>
      </c>
      <c r="BC102" s="62" t="s">
        <v>294</v>
      </c>
      <c r="BD102" s="62" t="s">
        <v>294</v>
      </c>
      <c r="BE102" s="62" t="s">
        <v>294</v>
      </c>
      <c r="BF102" s="62" t="s">
        <v>294</v>
      </c>
      <c r="BG102" s="327" t="s">
        <v>294</v>
      </c>
      <c r="BH102" s="327" t="s">
        <v>294</v>
      </c>
      <c r="BI102" s="327" t="s">
        <v>294</v>
      </c>
      <c r="BJ102" s="62" t="s">
        <v>294</v>
      </c>
      <c r="BK102" s="327" t="s">
        <v>294</v>
      </c>
      <c r="BL102" s="327" t="s">
        <v>294</v>
      </c>
      <c r="BM102" s="327" t="s">
        <v>294</v>
      </c>
      <c r="BN102" s="62" t="s">
        <v>294</v>
      </c>
      <c r="BO102" s="62" t="s">
        <v>294</v>
      </c>
      <c r="BP102" s="62" t="s">
        <v>294</v>
      </c>
      <c r="BQ102" s="62" t="s">
        <v>294</v>
      </c>
      <c r="BR102" s="327" t="s">
        <v>294</v>
      </c>
      <c r="BS102" s="327" t="s">
        <v>294</v>
      </c>
      <c r="BT102" s="327" t="s">
        <v>294</v>
      </c>
      <c r="BU102" s="327" t="s">
        <v>294</v>
      </c>
      <c r="BV102" s="327" t="s">
        <v>294</v>
      </c>
      <c r="BW102" s="62" t="s">
        <v>294</v>
      </c>
      <c r="BX102" s="62" t="s">
        <v>294</v>
      </c>
      <c r="BY102" s="62" t="s">
        <v>294</v>
      </c>
      <c r="BZ102" s="62" t="s">
        <v>294</v>
      </c>
      <c r="CA102" s="62">
        <v>3.3</v>
      </c>
      <c r="CB102" s="62" t="s">
        <v>254</v>
      </c>
      <c r="CC102" s="62" t="s">
        <v>294</v>
      </c>
      <c r="CD102" s="62">
        <v>0.15</v>
      </c>
      <c r="CE102" s="62" t="s">
        <v>254</v>
      </c>
      <c r="CF102" s="62">
        <v>3.9</v>
      </c>
      <c r="CG102" s="62" t="s">
        <v>294</v>
      </c>
      <c r="CH102" s="62" t="s">
        <v>294</v>
      </c>
      <c r="CI102" s="62">
        <v>24</v>
      </c>
      <c r="CJ102" s="62" t="s">
        <v>254</v>
      </c>
      <c r="CK102" s="62" t="s">
        <v>294</v>
      </c>
      <c r="CL102" s="62">
        <v>10</v>
      </c>
      <c r="CM102" s="62" t="s">
        <v>294</v>
      </c>
      <c r="CN102" s="62" t="s">
        <v>288</v>
      </c>
      <c r="CO102" s="62" t="s">
        <v>259</v>
      </c>
      <c r="CP102" s="62">
        <v>1.4</v>
      </c>
      <c r="CQ102" s="62" t="s">
        <v>254</v>
      </c>
      <c r="CR102" s="62" t="s">
        <v>254</v>
      </c>
      <c r="CS102" s="62" t="s">
        <v>294</v>
      </c>
      <c r="CT102" s="62" t="s">
        <v>284</v>
      </c>
      <c r="CU102" s="62" t="s">
        <v>294</v>
      </c>
      <c r="CV102" s="62" t="s">
        <v>294</v>
      </c>
      <c r="CW102" s="62" t="s">
        <v>294</v>
      </c>
      <c r="CX102" s="62" t="s">
        <v>294</v>
      </c>
      <c r="CY102" s="62" t="s">
        <v>294</v>
      </c>
      <c r="CZ102" s="62" t="s">
        <v>294</v>
      </c>
      <c r="DA102" s="62" t="s">
        <v>294</v>
      </c>
      <c r="DB102" s="62" t="s">
        <v>294</v>
      </c>
      <c r="DC102" s="62" t="s">
        <v>294</v>
      </c>
      <c r="DD102" s="62" t="s">
        <v>294</v>
      </c>
      <c r="DE102" s="62" t="s">
        <v>294</v>
      </c>
      <c r="DF102" s="62" t="s">
        <v>294</v>
      </c>
      <c r="DG102" s="62" t="s">
        <v>294</v>
      </c>
      <c r="DH102" s="62" t="s">
        <v>294</v>
      </c>
      <c r="DI102" s="62" t="s">
        <v>294</v>
      </c>
      <c r="DJ102" s="62" t="s">
        <v>294</v>
      </c>
      <c r="DK102" s="62" t="s">
        <v>294</v>
      </c>
      <c r="DL102" s="62" t="s">
        <v>294</v>
      </c>
      <c r="DM102" s="62" t="s">
        <v>294</v>
      </c>
      <c r="DN102" s="328" t="s">
        <v>294</v>
      </c>
      <c r="DO102" s="328" t="s">
        <v>294</v>
      </c>
      <c r="DP102" s="328" t="s">
        <v>294</v>
      </c>
      <c r="DQ102" s="328" t="s">
        <v>294</v>
      </c>
    </row>
    <row r="103" spans="1:121" x14ac:dyDescent="0.25">
      <c r="A103" s="62" t="s">
        <v>154</v>
      </c>
      <c r="B103" s="56" t="str">
        <f>VLOOKUP(Table3[[#This Row],[Station]], StationName, 2, FALSE)</f>
        <v>L02-641-2</v>
      </c>
      <c r="C103" s="362">
        <v>1874003</v>
      </c>
      <c r="D103" s="325">
        <v>44417.410416666666</v>
      </c>
      <c r="E103" s="326" t="s">
        <v>283</v>
      </c>
      <c r="F103" s="327">
        <v>71</v>
      </c>
      <c r="G103" s="327">
        <v>83</v>
      </c>
      <c r="H103" s="327">
        <v>88</v>
      </c>
      <c r="I103" s="327">
        <v>82</v>
      </c>
      <c r="J103" s="327">
        <v>69</v>
      </c>
      <c r="K103" s="327">
        <v>71</v>
      </c>
      <c r="L103" s="327">
        <v>82</v>
      </c>
      <c r="M103" s="327">
        <v>88</v>
      </c>
      <c r="N103" s="327">
        <v>66</v>
      </c>
      <c r="O103" s="327" t="s">
        <v>259</v>
      </c>
      <c r="P103" s="62" t="s">
        <v>259</v>
      </c>
      <c r="Q103" s="62" t="s">
        <v>259</v>
      </c>
      <c r="R103" s="62" t="s">
        <v>259</v>
      </c>
      <c r="S103" s="327" t="s">
        <v>259</v>
      </c>
      <c r="T103" s="327" t="s">
        <v>259</v>
      </c>
      <c r="U103" s="327" t="s">
        <v>256</v>
      </c>
      <c r="V103" s="327" t="s">
        <v>256</v>
      </c>
      <c r="W103" s="327" t="s">
        <v>256</v>
      </c>
      <c r="X103" s="327" t="s">
        <v>256</v>
      </c>
      <c r="Y103" s="327" t="s">
        <v>284</v>
      </c>
      <c r="Z103" s="327" t="s">
        <v>256</v>
      </c>
      <c r="AA103" s="327" t="s">
        <v>256</v>
      </c>
      <c r="AB103" s="327" t="s">
        <v>256</v>
      </c>
      <c r="AC103" s="327" t="s">
        <v>256</v>
      </c>
      <c r="AD103" s="327" t="s">
        <v>256</v>
      </c>
      <c r="AE103" s="327" t="s">
        <v>256</v>
      </c>
      <c r="AF103" s="62" t="s">
        <v>256</v>
      </c>
      <c r="AG103" s="62" t="s">
        <v>256</v>
      </c>
      <c r="AH103" s="62" t="s">
        <v>256</v>
      </c>
      <c r="AI103" s="327" t="s">
        <v>256</v>
      </c>
      <c r="AJ103" s="327" t="s">
        <v>248</v>
      </c>
      <c r="AK103" s="327" t="s">
        <v>259</v>
      </c>
      <c r="AL103" s="327" t="s">
        <v>259</v>
      </c>
      <c r="AM103" s="327" t="s">
        <v>251</v>
      </c>
      <c r="AN103" s="327" t="s">
        <v>256</v>
      </c>
      <c r="AO103" s="327" t="s">
        <v>259</v>
      </c>
      <c r="AP103" s="62" t="s">
        <v>251</v>
      </c>
      <c r="AQ103" s="62" t="s">
        <v>256</v>
      </c>
      <c r="AR103" s="62" t="s">
        <v>256</v>
      </c>
      <c r="AS103" s="62" t="s">
        <v>285</v>
      </c>
      <c r="AT103" s="62" t="s">
        <v>259</v>
      </c>
      <c r="AU103" s="327" t="s">
        <v>284</v>
      </c>
      <c r="AV103" s="327" t="s">
        <v>259</v>
      </c>
      <c r="AW103" s="62" t="s">
        <v>256</v>
      </c>
      <c r="AX103" s="62" t="s">
        <v>256</v>
      </c>
      <c r="AY103" s="62" t="s">
        <v>256</v>
      </c>
      <c r="AZ103" s="62" t="s">
        <v>256</v>
      </c>
      <c r="BA103" s="62" t="s">
        <v>256</v>
      </c>
      <c r="BB103" s="62" t="s">
        <v>259</v>
      </c>
      <c r="BC103" s="62" t="s">
        <v>286</v>
      </c>
      <c r="BD103" s="62" t="s">
        <v>248</v>
      </c>
      <c r="BE103" s="62" t="s">
        <v>259</v>
      </c>
      <c r="BF103" s="62" t="s">
        <v>248</v>
      </c>
      <c r="BG103" s="327">
        <v>1.76</v>
      </c>
      <c r="BH103" s="327" t="s">
        <v>256</v>
      </c>
      <c r="BI103" s="327" t="s">
        <v>256</v>
      </c>
      <c r="BJ103" s="62" t="s">
        <v>256</v>
      </c>
      <c r="BK103" s="327" t="s">
        <v>256</v>
      </c>
      <c r="BL103" s="327" t="s">
        <v>256</v>
      </c>
      <c r="BM103" s="327" t="s">
        <v>259</v>
      </c>
      <c r="BN103" s="62" t="s">
        <v>256</v>
      </c>
      <c r="BO103" s="62" t="s">
        <v>259</v>
      </c>
      <c r="BP103" s="62" t="s">
        <v>284</v>
      </c>
      <c r="BQ103" s="62" t="s">
        <v>256</v>
      </c>
      <c r="BR103" s="327" t="s">
        <v>256</v>
      </c>
      <c r="BS103" s="327">
        <v>2.25</v>
      </c>
      <c r="BT103" s="327" t="s">
        <v>284</v>
      </c>
      <c r="BU103" s="327">
        <v>1.78</v>
      </c>
      <c r="BV103" s="327" t="s">
        <v>248</v>
      </c>
      <c r="BW103" s="62" t="s">
        <v>285</v>
      </c>
      <c r="BX103" s="62" t="s">
        <v>287</v>
      </c>
      <c r="BY103" s="62" t="s">
        <v>259</v>
      </c>
      <c r="BZ103" s="62" t="s">
        <v>259</v>
      </c>
      <c r="CA103" s="62">
        <v>2.5</v>
      </c>
      <c r="CB103" s="62" t="s">
        <v>254</v>
      </c>
      <c r="CC103" s="62">
        <v>90.6</v>
      </c>
      <c r="CD103" s="62">
        <v>7.3999999999999996E-2</v>
      </c>
      <c r="CE103" s="62">
        <v>0.24</v>
      </c>
      <c r="CF103" s="62">
        <v>6.8</v>
      </c>
      <c r="CG103" s="62">
        <v>8.9</v>
      </c>
      <c r="CH103" s="62">
        <v>355</v>
      </c>
      <c r="CI103" s="62">
        <v>120</v>
      </c>
      <c r="CJ103" s="62" t="s">
        <v>254</v>
      </c>
      <c r="CK103" s="62">
        <v>31.2</v>
      </c>
      <c r="CL103" s="62">
        <v>13</v>
      </c>
      <c r="CM103" s="62" t="s">
        <v>288</v>
      </c>
      <c r="CN103" s="62" t="s">
        <v>288</v>
      </c>
      <c r="CO103" s="62" t="s">
        <v>259</v>
      </c>
      <c r="CP103" s="62">
        <v>1.2</v>
      </c>
      <c r="CQ103" s="62" t="s">
        <v>254</v>
      </c>
      <c r="CR103" s="62" t="s">
        <v>254</v>
      </c>
      <c r="CS103" s="62">
        <v>8.9</v>
      </c>
      <c r="CT103" s="62" t="s">
        <v>284</v>
      </c>
      <c r="CU103" s="62">
        <v>0.1</v>
      </c>
      <c r="CV103" s="62">
        <v>210</v>
      </c>
      <c r="CW103" s="62">
        <v>2.5</v>
      </c>
      <c r="CX103" s="62">
        <v>1.4</v>
      </c>
      <c r="CY103" s="62">
        <v>0.33</v>
      </c>
      <c r="CZ103" s="62">
        <v>8.01</v>
      </c>
      <c r="DA103" s="62">
        <v>1.3</v>
      </c>
      <c r="DB103" s="62">
        <v>1500</v>
      </c>
      <c r="DC103" s="62">
        <v>250</v>
      </c>
      <c r="DD103" s="62">
        <v>23.5</v>
      </c>
      <c r="DE103" s="62">
        <v>910</v>
      </c>
      <c r="DF103" s="62" t="s">
        <v>289</v>
      </c>
      <c r="DG103" s="62">
        <v>2.6</v>
      </c>
      <c r="DH103" s="62">
        <v>1.7</v>
      </c>
      <c r="DI103" s="62">
        <v>11700</v>
      </c>
      <c r="DJ103" s="62" t="s">
        <v>387</v>
      </c>
      <c r="DK103" s="62" t="s">
        <v>388</v>
      </c>
      <c r="DL103" s="62" t="s">
        <v>389</v>
      </c>
      <c r="DM103" s="62">
        <v>8.25</v>
      </c>
      <c r="DN103" s="328">
        <v>8.58</v>
      </c>
      <c r="DO103" s="328">
        <v>1497.7</v>
      </c>
      <c r="DP103" s="328">
        <v>21.8</v>
      </c>
      <c r="DQ103" s="328">
        <v>1.75</v>
      </c>
    </row>
    <row r="104" spans="1:121" hidden="1" x14ac:dyDescent="0.25">
      <c r="A104" s="62" t="s">
        <v>154</v>
      </c>
      <c r="B104" s="56" t="str">
        <f>VLOOKUP(Table3[[#This Row],[Station]], StationName, 2, FALSE)</f>
        <v>L02-641-2</v>
      </c>
      <c r="C104" s="362">
        <v>1874008</v>
      </c>
      <c r="D104" s="325">
        <v>44417.410416666666</v>
      </c>
      <c r="E104" s="326" t="s">
        <v>293</v>
      </c>
      <c r="F104" s="327" t="s">
        <v>294</v>
      </c>
      <c r="G104" s="327" t="s">
        <v>294</v>
      </c>
      <c r="H104" s="327" t="s">
        <v>294</v>
      </c>
      <c r="I104" s="327" t="s">
        <v>294</v>
      </c>
      <c r="J104" s="327" t="s">
        <v>294</v>
      </c>
      <c r="K104" s="327" t="s">
        <v>294</v>
      </c>
      <c r="L104" s="327" t="s">
        <v>294</v>
      </c>
      <c r="M104" s="327" t="s">
        <v>294</v>
      </c>
      <c r="N104" s="327" t="s">
        <v>294</v>
      </c>
      <c r="O104" s="327" t="s">
        <v>294</v>
      </c>
      <c r="P104" s="62" t="s">
        <v>294</v>
      </c>
      <c r="Q104" s="62" t="s">
        <v>294</v>
      </c>
      <c r="R104" s="62" t="s">
        <v>294</v>
      </c>
      <c r="S104" s="327" t="s">
        <v>294</v>
      </c>
      <c r="T104" s="327" t="s">
        <v>294</v>
      </c>
      <c r="U104" s="327" t="s">
        <v>294</v>
      </c>
      <c r="V104" s="327" t="s">
        <v>294</v>
      </c>
      <c r="W104" s="327" t="s">
        <v>294</v>
      </c>
      <c r="X104" s="327" t="s">
        <v>294</v>
      </c>
      <c r="Y104" s="327" t="s">
        <v>294</v>
      </c>
      <c r="Z104" s="327" t="s">
        <v>294</v>
      </c>
      <c r="AA104" s="327" t="s">
        <v>294</v>
      </c>
      <c r="AB104" s="327" t="s">
        <v>294</v>
      </c>
      <c r="AC104" s="327" t="s">
        <v>294</v>
      </c>
      <c r="AD104" s="327" t="s">
        <v>294</v>
      </c>
      <c r="AE104" s="327" t="s">
        <v>294</v>
      </c>
      <c r="AF104" s="62" t="s">
        <v>294</v>
      </c>
      <c r="AG104" s="62" t="s">
        <v>294</v>
      </c>
      <c r="AH104" s="62" t="s">
        <v>294</v>
      </c>
      <c r="AI104" s="327" t="s">
        <v>294</v>
      </c>
      <c r="AJ104" s="327" t="s">
        <v>294</v>
      </c>
      <c r="AK104" s="327" t="s">
        <v>294</v>
      </c>
      <c r="AL104" s="327" t="s">
        <v>294</v>
      </c>
      <c r="AM104" s="327" t="s">
        <v>294</v>
      </c>
      <c r="AN104" s="327" t="s">
        <v>294</v>
      </c>
      <c r="AO104" s="327" t="s">
        <v>294</v>
      </c>
      <c r="AP104" s="62" t="s">
        <v>294</v>
      </c>
      <c r="AQ104" s="62" t="s">
        <v>294</v>
      </c>
      <c r="AR104" s="62" t="s">
        <v>294</v>
      </c>
      <c r="AS104" s="62" t="s">
        <v>294</v>
      </c>
      <c r="AT104" s="62" t="s">
        <v>294</v>
      </c>
      <c r="AU104" s="327" t="s">
        <v>294</v>
      </c>
      <c r="AV104" s="327" t="s">
        <v>294</v>
      </c>
      <c r="AW104" s="62" t="s">
        <v>294</v>
      </c>
      <c r="AX104" s="62" t="s">
        <v>294</v>
      </c>
      <c r="AY104" s="62" t="s">
        <v>294</v>
      </c>
      <c r="AZ104" s="62" t="s">
        <v>294</v>
      </c>
      <c r="BA104" s="62" t="s">
        <v>294</v>
      </c>
      <c r="BB104" s="62" t="s">
        <v>294</v>
      </c>
      <c r="BC104" s="62" t="s">
        <v>294</v>
      </c>
      <c r="BD104" s="62" t="s">
        <v>294</v>
      </c>
      <c r="BE104" s="62" t="s">
        <v>294</v>
      </c>
      <c r="BF104" s="62" t="s">
        <v>294</v>
      </c>
      <c r="BG104" s="327" t="s">
        <v>294</v>
      </c>
      <c r="BH104" s="327" t="s">
        <v>294</v>
      </c>
      <c r="BI104" s="327" t="s">
        <v>294</v>
      </c>
      <c r="BJ104" s="62" t="s">
        <v>294</v>
      </c>
      <c r="BK104" s="327" t="s">
        <v>294</v>
      </c>
      <c r="BL104" s="327" t="s">
        <v>294</v>
      </c>
      <c r="BM104" s="327" t="s">
        <v>294</v>
      </c>
      <c r="BN104" s="62" t="s">
        <v>294</v>
      </c>
      <c r="BO104" s="62" t="s">
        <v>294</v>
      </c>
      <c r="BP104" s="62" t="s">
        <v>294</v>
      </c>
      <c r="BQ104" s="62" t="s">
        <v>294</v>
      </c>
      <c r="BR104" s="327" t="s">
        <v>294</v>
      </c>
      <c r="BS104" s="327" t="s">
        <v>294</v>
      </c>
      <c r="BT104" s="327" t="s">
        <v>294</v>
      </c>
      <c r="BU104" s="327" t="s">
        <v>294</v>
      </c>
      <c r="BV104" s="327" t="s">
        <v>294</v>
      </c>
      <c r="BW104" s="62" t="s">
        <v>294</v>
      </c>
      <c r="BX104" s="62" t="s">
        <v>294</v>
      </c>
      <c r="BY104" s="62" t="s">
        <v>294</v>
      </c>
      <c r="BZ104" s="62" t="s">
        <v>294</v>
      </c>
      <c r="CA104" s="62">
        <v>2.5</v>
      </c>
      <c r="CB104" s="62" t="s">
        <v>254</v>
      </c>
      <c r="CC104" s="62" t="s">
        <v>294</v>
      </c>
      <c r="CD104" s="62">
        <v>0.1</v>
      </c>
      <c r="CE104" s="62" t="s">
        <v>254</v>
      </c>
      <c r="CF104" s="62">
        <v>6</v>
      </c>
      <c r="CG104" s="62" t="s">
        <v>294</v>
      </c>
      <c r="CH104" s="62" t="s">
        <v>294</v>
      </c>
      <c r="CI104" s="62">
        <v>43</v>
      </c>
      <c r="CJ104" s="62" t="s">
        <v>254</v>
      </c>
      <c r="CK104" s="62" t="s">
        <v>294</v>
      </c>
      <c r="CL104" s="62">
        <v>2.6</v>
      </c>
      <c r="CM104" s="62" t="s">
        <v>294</v>
      </c>
      <c r="CN104" s="62" t="s">
        <v>288</v>
      </c>
      <c r="CO104" s="62" t="s">
        <v>259</v>
      </c>
      <c r="CP104" s="62">
        <v>1.3</v>
      </c>
      <c r="CQ104" s="62" t="s">
        <v>254</v>
      </c>
      <c r="CR104" s="62" t="s">
        <v>254</v>
      </c>
      <c r="CS104" s="62" t="s">
        <v>294</v>
      </c>
      <c r="CT104" s="62" t="s">
        <v>284</v>
      </c>
      <c r="CU104" s="62" t="s">
        <v>294</v>
      </c>
      <c r="CV104" s="62" t="s">
        <v>294</v>
      </c>
      <c r="CW104" s="62" t="s">
        <v>294</v>
      </c>
      <c r="CX104" s="62" t="s">
        <v>294</v>
      </c>
      <c r="CY104" s="62" t="s">
        <v>294</v>
      </c>
      <c r="CZ104" s="62" t="s">
        <v>294</v>
      </c>
      <c r="DA104" s="62" t="s">
        <v>294</v>
      </c>
      <c r="DB104" s="62" t="s">
        <v>294</v>
      </c>
      <c r="DC104" s="62" t="s">
        <v>294</v>
      </c>
      <c r="DD104" s="62" t="s">
        <v>294</v>
      </c>
      <c r="DE104" s="62" t="s">
        <v>294</v>
      </c>
      <c r="DF104" s="62" t="s">
        <v>294</v>
      </c>
      <c r="DG104" s="62" t="s">
        <v>294</v>
      </c>
      <c r="DH104" s="62" t="s">
        <v>294</v>
      </c>
      <c r="DI104" s="62" t="s">
        <v>294</v>
      </c>
      <c r="DJ104" s="62" t="s">
        <v>294</v>
      </c>
      <c r="DK104" s="62" t="s">
        <v>294</v>
      </c>
      <c r="DL104" s="62" t="s">
        <v>294</v>
      </c>
      <c r="DM104" s="62" t="s">
        <v>294</v>
      </c>
      <c r="DN104" s="328" t="s">
        <v>294</v>
      </c>
      <c r="DO104" s="328" t="s">
        <v>294</v>
      </c>
      <c r="DP104" s="328" t="s">
        <v>294</v>
      </c>
      <c r="DQ104" s="328" t="s">
        <v>294</v>
      </c>
    </row>
    <row r="105" spans="1:121" x14ac:dyDescent="0.25">
      <c r="A105" s="62" t="s">
        <v>155</v>
      </c>
      <c r="B105" s="56" t="str">
        <f>VLOOKUP(Table3[[#This Row],[Station]], StationName, 2, FALSE)</f>
        <v>L02-641-1</v>
      </c>
      <c r="C105" s="362">
        <v>1874002</v>
      </c>
      <c r="D105" s="325">
        <v>44417.418749999997</v>
      </c>
      <c r="E105" s="326" t="s">
        <v>283</v>
      </c>
      <c r="F105" s="327">
        <v>69</v>
      </c>
      <c r="G105" s="327">
        <v>86</v>
      </c>
      <c r="H105" s="327">
        <v>93</v>
      </c>
      <c r="I105" s="327">
        <v>88</v>
      </c>
      <c r="J105" s="327">
        <v>59</v>
      </c>
      <c r="K105" s="327">
        <v>70</v>
      </c>
      <c r="L105" s="327">
        <v>84</v>
      </c>
      <c r="M105" s="327">
        <v>88</v>
      </c>
      <c r="N105" s="327">
        <v>62</v>
      </c>
      <c r="O105" s="327" t="s">
        <v>259</v>
      </c>
      <c r="P105" s="62" t="s">
        <v>259</v>
      </c>
      <c r="Q105" s="62" t="s">
        <v>259</v>
      </c>
      <c r="R105" s="62" t="s">
        <v>259</v>
      </c>
      <c r="S105" s="327" t="s">
        <v>259</v>
      </c>
      <c r="T105" s="327" t="s">
        <v>259</v>
      </c>
      <c r="U105" s="327" t="s">
        <v>256</v>
      </c>
      <c r="V105" s="327" t="s">
        <v>256</v>
      </c>
      <c r="W105" s="327" t="s">
        <v>256</v>
      </c>
      <c r="X105" s="327" t="s">
        <v>256</v>
      </c>
      <c r="Y105" s="327" t="s">
        <v>284</v>
      </c>
      <c r="Z105" s="327" t="s">
        <v>256</v>
      </c>
      <c r="AA105" s="327" t="s">
        <v>256</v>
      </c>
      <c r="AB105" s="327" t="s">
        <v>256</v>
      </c>
      <c r="AC105" s="327" t="s">
        <v>256</v>
      </c>
      <c r="AD105" s="327" t="s">
        <v>256</v>
      </c>
      <c r="AE105" s="327" t="s">
        <v>256</v>
      </c>
      <c r="AF105" s="62" t="s">
        <v>256</v>
      </c>
      <c r="AG105" s="62" t="s">
        <v>256</v>
      </c>
      <c r="AH105" s="62" t="s">
        <v>256</v>
      </c>
      <c r="AI105" s="327" t="s">
        <v>256</v>
      </c>
      <c r="AJ105" s="327" t="s">
        <v>248</v>
      </c>
      <c r="AK105" s="327" t="s">
        <v>259</v>
      </c>
      <c r="AL105" s="327" t="s">
        <v>259</v>
      </c>
      <c r="AM105" s="327" t="s">
        <v>251</v>
      </c>
      <c r="AN105" s="327" t="s">
        <v>256</v>
      </c>
      <c r="AO105" s="327" t="s">
        <v>259</v>
      </c>
      <c r="AP105" s="62" t="s">
        <v>251</v>
      </c>
      <c r="AQ105" s="62" t="s">
        <v>256</v>
      </c>
      <c r="AR105" s="62" t="s">
        <v>256</v>
      </c>
      <c r="AS105" s="62" t="s">
        <v>285</v>
      </c>
      <c r="AT105" s="62" t="s">
        <v>259</v>
      </c>
      <c r="AU105" s="327" t="s">
        <v>284</v>
      </c>
      <c r="AV105" s="327" t="s">
        <v>259</v>
      </c>
      <c r="AW105" s="62" t="s">
        <v>256</v>
      </c>
      <c r="AX105" s="62" t="s">
        <v>256</v>
      </c>
      <c r="AY105" s="62" t="s">
        <v>256</v>
      </c>
      <c r="AZ105" s="62" t="s">
        <v>256</v>
      </c>
      <c r="BA105" s="62" t="s">
        <v>256</v>
      </c>
      <c r="BB105" s="62" t="s">
        <v>259</v>
      </c>
      <c r="BC105" s="62" t="s">
        <v>286</v>
      </c>
      <c r="BD105" s="62" t="s">
        <v>248</v>
      </c>
      <c r="BE105" s="62" t="s">
        <v>259</v>
      </c>
      <c r="BF105" s="62" t="s">
        <v>248</v>
      </c>
      <c r="BG105" s="327">
        <v>1.61</v>
      </c>
      <c r="BH105" s="327" t="s">
        <v>256</v>
      </c>
      <c r="BI105" s="327" t="s">
        <v>256</v>
      </c>
      <c r="BJ105" s="62" t="s">
        <v>256</v>
      </c>
      <c r="BK105" s="327" t="s">
        <v>256</v>
      </c>
      <c r="BL105" s="327" t="s">
        <v>256</v>
      </c>
      <c r="BM105" s="327" t="s">
        <v>259</v>
      </c>
      <c r="BN105" s="62" t="s">
        <v>256</v>
      </c>
      <c r="BO105" s="62" t="s">
        <v>259</v>
      </c>
      <c r="BP105" s="62" t="s">
        <v>284</v>
      </c>
      <c r="BQ105" s="62" t="s">
        <v>256</v>
      </c>
      <c r="BR105" s="327" t="s">
        <v>256</v>
      </c>
      <c r="BS105" s="327">
        <v>1.83</v>
      </c>
      <c r="BT105" s="327" t="s">
        <v>284</v>
      </c>
      <c r="BU105" s="327">
        <v>1.73</v>
      </c>
      <c r="BV105" s="327" t="s">
        <v>248</v>
      </c>
      <c r="BW105" s="62" t="s">
        <v>285</v>
      </c>
      <c r="BX105" s="62" t="s">
        <v>287</v>
      </c>
      <c r="BY105" s="62" t="s">
        <v>259</v>
      </c>
      <c r="BZ105" s="62" t="s">
        <v>259</v>
      </c>
      <c r="CA105" s="62">
        <v>2</v>
      </c>
      <c r="CB105" s="62" t="s">
        <v>254</v>
      </c>
      <c r="CC105" s="62">
        <v>111</v>
      </c>
      <c r="CD105" s="62">
        <v>7.3999999999999996E-2</v>
      </c>
      <c r="CE105" s="62">
        <v>0.22</v>
      </c>
      <c r="CF105" s="62">
        <v>4.5</v>
      </c>
      <c r="CG105" s="62">
        <v>8.9</v>
      </c>
      <c r="CH105" s="62">
        <v>438</v>
      </c>
      <c r="CI105" s="62">
        <v>71</v>
      </c>
      <c r="CJ105" s="62" t="s">
        <v>254</v>
      </c>
      <c r="CK105" s="62">
        <v>39</v>
      </c>
      <c r="CL105" s="62">
        <v>5.0999999999999996</v>
      </c>
      <c r="CM105" s="62" t="s">
        <v>288</v>
      </c>
      <c r="CN105" s="62" t="s">
        <v>288</v>
      </c>
      <c r="CO105" s="62" t="s">
        <v>259</v>
      </c>
      <c r="CP105" s="62">
        <v>0.88</v>
      </c>
      <c r="CQ105" s="62" t="s">
        <v>254</v>
      </c>
      <c r="CR105" s="62" t="s">
        <v>254</v>
      </c>
      <c r="CS105" s="62">
        <v>9.1999999999999993</v>
      </c>
      <c r="CT105" s="62">
        <v>12</v>
      </c>
      <c r="CU105" s="62">
        <v>0.11</v>
      </c>
      <c r="CV105" s="62">
        <v>190</v>
      </c>
      <c r="CW105" s="62">
        <v>3.1</v>
      </c>
      <c r="CX105" s="62">
        <v>0.86</v>
      </c>
      <c r="CY105" s="62">
        <v>0.39</v>
      </c>
      <c r="CZ105" s="62">
        <v>7.95</v>
      </c>
      <c r="DA105" s="62">
        <v>1.3</v>
      </c>
      <c r="DB105" s="62">
        <v>1500</v>
      </c>
      <c r="DC105" s="62">
        <v>300</v>
      </c>
      <c r="DD105" s="62">
        <v>23.6</v>
      </c>
      <c r="DE105" s="62">
        <v>910</v>
      </c>
      <c r="DF105" s="62" t="s">
        <v>289</v>
      </c>
      <c r="DG105" s="62">
        <v>4.8</v>
      </c>
      <c r="DH105" s="62">
        <v>2.2000000000000002</v>
      </c>
      <c r="DI105" s="62">
        <v>25000</v>
      </c>
      <c r="DJ105" s="62" t="s">
        <v>383</v>
      </c>
      <c r="DK105" s="62" t="s">
        <v>390</v>
      </c>
      <c r="DL105" s="62" t="s">
        <v>391</v>
      </c>
      <c r="DM105" s="62">
        <v>8.67</v>
      </c>
      <c r="DN105" s="328">
        <v>8.4600000000000009</v>
      </c>
      <c r="DO105" s="328">
        <v>1462.3</v>
      </c>
      <c r="DP105" s="328">
        <v>21.44</v>
      </c>
      <c r="DQ105" s="328">
        <v>2.44</v>
      </c>
    </row>
    <row r="106" spans="1:121" hidden="1" x14ac:dyDescent="0.25">
      <c r="A106" s="62" t="s">
        <v>155</v>
      </c>
      <c r="B106" s="56" t="str">
        <f>VLOOKUP(Table3[[#This Row],[Station]], StationName, 2, FALSE)</f>
        <v>L02-641-1</v>
      </c>
      <c r="C106" s="362">
        <v>1874007</v>
      </c>
      <c r="D106" s="325">
        <v>44417.418749999997</v>
      </c>
      <c r="E106" s="326" t="s">
        <v>293</v>
      </c>
      <c r="F106" s="327" t="s">
        <v>294</v>
      </c>
      <c r="G106" s="327" t="s">
        <v>294</v>
      </c>
      <c r="H106" s="327" t="s">
        <v>294</v>
      </c>
      <c r="I106" s="327" t="s">
        <v>294</v>
      </c>
      <c r="J106" s="327" t="s">
        <v>294</v>
      </c>
      <c r="K106" s="327" t="s">
        <v>294</v>
      </c>
      <c r="L106" s="327" t="s">
        <v>294</v>
      </c>
      <c r="M106" s="327" t="s">
        <v>294</v>
      </c>
      <c r="N106" s="327" t="s">
        <v>294</v>
      </c>
      <c r="O106" s="327" t="s">
        <v>294</v>
      </c>
      <c r="P106" s="62" t="s">
        <v>294</v>
      </c>
      <c r="Q106" s="62" t="s">
        <v>294</v>
      </c>
      <c r="R106" s="62" t="s">
        <v>294</v>
      </c>
      <c r="S106" s="327" t="s">
        <v>294</v>
      </c>
      <c r="T106" s="327" t="s">
        <v>294</v>
      </c>
      <c r="U106" s="327" t="s">
        <v>294</v>
      </c>
      <c r="V106" s="327" t="s">
        <v>294</v>
      </c>
      <c r="W106" s="327" t="s">
        <v>294</v>
      </c>
      <c r="X106" s="327" t="s">
        <v>294</v>
      </c>
      <c r="Y106" s="327" t="s">
        <v>294</v>
      </c>
      <c r="Z106" s="327" t="s">
        <v>294</v>
      </c>
      <c r="AA106" s="327" t="s">
        <v>294</v>
      </c>
      <c r="AB106" s="327" t="s">
        <v>294</v>
      </c>
      <c r="AC106" s="327" t="s">
        <v>294</v>
      </c>
      <c r="AD106" s="327" t="s">
        <v>294</v>
      </c>
      <c r="AE106" s="327" t="s">
        <v>294</v>
      </c>
      <c r="AF106" s="62" t="s">
        <v>294</v>
      </c>
      <c r="AG106" s="62" t="s">
        <v>294</v>
      </c>
      <c r="AH106" s="62" t="s">
        <v>294</v>
      </c>
      <c r="AI106" s="327" t="s">
        <v>294</v>
      </c>
      <c r="AJ106" s="327" t="s">
        <v>294</v>
      </c>
      <c r="AK106" s="327" t="s">
        <v>294</v>
      </c>
      <c r="AL106" s="327" t="s">
        <v>294</v>
      </c>
      <c r="AM106" s="327" t="s">
        <v>294</v>
      </c>
      <c r="AN106" s="327" t="s">
        <v>294</v>
      </c>
      <c r="AO106" s="327" t="s">
        <v>294</v>
      </c>
      <c r="AP106" s="62" t="s">
        <v>294</v>
      </c>
      <c r="AQ106" s="62" t="s">
        <v>294</v>
      </c>
      <c r="AR106" s="62" t="s">
        <v>294</v>
      </c>
      <c r="AS106" s="62" t="s">
        <v>294</v>
      </c>
      <c r="AT106" s="62" t="s">
        <v>294</v>
      </c>
      <c r="AU106" s="327" t="s">
        <v>294</v>
      </c>
      <c r="AV106" s="327" t="s">
        <v>294</v>
      </c>
      <c r="AW106" s="62" t="s">
        <v>294</v>
      </c>
      <c r="AX106" s="62" t="s">
        <v>294</v>
      </c>
      <c r="AY106" s="62" t="s">
        <v>294</v>
      </c>
      <c r="AZ106" s="62" t="s">
        <v>294</v>
      </c>
      <c r="BA106" s="62" t="s">
        <v>294</v>
      </c>
      <c r="BB106" s="62" t="s">
        <v>294</v>
      </c>
      <c r="BC106" s="62" t="s">
        <v>294</v>
      </c>
      <c r="BD106" s="62" t="s">
        <v>294</v>
      </c>
      <c r="BE106" s="62" t="s">
        <v>294</v>
      </c>
      <c r="BF106" s="62" t="s">
        <v>294</v>
      </c>
      <c r="BG106" s="327" t="s">
        <v>294</v>
      </c>
      <c r="BH106" s="327" t="s">
        <v>294</v>
      </c>
      <c r="BI106" s="327" t="s">
        <v>294</v>
      </c>
      <c r="BJ106" s="62" t="s">
        <v>294</v>
      </c>
      <c r="BK106" s="327" t="s">
        <v>294</v>
      </c>
      <c r="BL106" s="327" t="s">
        <v>294</v>
      </c>
      <c r="BM106" s="327" t="s">
        <v>294</v>
      </c>
      <c r="BN106" s="62" t="s">
        <v>294</v>
      </c>
      <c r="BO106" s="62" t="s">
        <v>294</v>
      </c>
      <c r="BP106" s="62" t="s">
        <v>294</v>
      </c>
      <c r="BQ106" s="62" t="s">
        <v>294</v>
      </c>
      <c r="BR106" s="327" t="s">
        <v>294</v>
      </c>
      <c r="BS106" s="327" t="s">
        <v>294</v>
      </c>
      <c r="BT106" s="327" t="s">
        <v>294</v>
      </c>
      <c r="BU106" s="327" t="s">
        <v>294</v>
      </c>
      <c r="BV106" s="327" t="s">
        <v>294</v>
      </c>
      <c r="BW106" s="62" t="s">
        <v>294</v>
      </c>
      <c r="BX106" s="62" t="s">
        <v>294</v>
      </c>
      <c r="BY106" s="62" t="s">
        <v>294</v>
      </c>
      <c r="BZ106" s="62" t="s">
        <v>294</v>
      </c>
      <c r="CA106" s="62">
        <v>2.1</v>
      </c>
      <c r="CB106" s="62" t="s">
        <v>254</v>
      </c>
      <c r="CC106" s="62" t="s">
        <v>294</v>
      </c>
      <c r="CD106" s="62">
        <v>9.7000000000000003E-2</v>
      </c>
      <c r="CE106" s="62" t="s">
        <v>254</v>
      </c>
      <c r="CF106" s="62">
        <v>3.8</v>
      </c>
      <c r="CG106" s="62" t="s">
        <v>294</v>
      </c>
      <c r="CH106" s="62" t="s">
        <v>294</v>
      </c>
      <c r="CI106" s="62" t="s">
        <v>286</v>
      </c>
      <c r="CJ106" s="62" t="s">
        <v>254</v>
      </c>
      <c r="CK106" s="62" t="s">
        <v>294</v>
      </c>
      <c r="CL106" s="62">
        <v>2.9</v>
      </c>
      <c r="CM106" s="62" t="s">
        <v>294</v>
      </c>
      <c r="CN106" s="62" t="s">
        <v>288</v>
      </c>
      <c r="CO106" s="62" t="s">
        <v>259</v>
      </c>
      <c r="CP106" s="62">
        <v>0.99</v>
      </c>
      <c r="CQ106" s="62" t="s">
        <v>254</v>
      </c>
      <c r="CR106" s="62" t="s">
        <v>254</v>
      </c>
      <c r="CS106" s="62" t="s">
        <v>294</v>
      </c>
      <c r="CT106" s="62" t="s">
        <v>284</v>
      </c>
      <c r="CU106" s="62" t="s">
        <v>294</v>
      </c>
      <c r="CV106" s="62" t="s">
        <v>294</v>
      </c>
      <c r="CW106" s="62" t="s">
        <v>294</v>
      </c>
      <c r="CX106" s="62" t="s">
        <v>294</v>
      </c>
      <c r="CY106" s="62" t="s">
        <v>294</v>
      </c>
      <c r="CZ106" s="62" t="s">
        <v>294</v>
      </c>
      <c r="DA106" s="62" t="s">
        <v>294</v>
      </c>
      <c r="DB106" s="62" t="s">
        <v>294</v>
      </c>
      <c r="DC106" s="62" t="s">
        <v>294</v>
      </c>
      <c r="DD106" s="62" t="s">
        <v>294</v>
      </c>
      <c r="DE106" s="62" t="s">
        <v>294</v>
      </c>
      <c r="DF106" s="62" t="s">
        <v>294</v>
      </c>
      <c r="DG106" s="62" t="s">
        <v>294</v>
      </c>
      <c r="DH106" s="62" t="s">
        <v>294</v>
      </c>
      <c r="DI106" s="62" t="s">
        <v>294</v>
      </c>
      <c r="DJ106" s="62" t="s">
        <v>294</v>
      </c>
      <c r="DK106" s="62" t="s">
        <v>294</v>
      </c>
      <c r="DL106" s="62" t="s">
        <v>294</v>
      </c>
      <c r="DM106" s="62" t="s">
        <v>294</v>
      </c>
      <c r="DN106" s="328" t="s">
        <v>294</v>
      </c>
      <c r="DO106" s="328" t="s">
        <v>294</v>
      </c>
      <c r="DP106" s="328" t="s">
        <v>294</v>
      </c>
      <c r="DQ106" s="328" t="s">
        <v>294</v>
      </c>
    </row>
    <row r="107" spans="1:121" x14ac:dyDescent="0.25">
      <c r="A107" s="62" t="s">
        <v>376</v>
      </c>
      <c r="B107" s="56" t="str">
        <f>VLOOKUP(Table3[[#This Row],[Station]], StationName, 2, FALSE)</f>
        <v>L01-731-1 (L08TBN2)</v>
      </c>
      <c r="C107" s="362">
        <v>1874004</v>
      </c>
      <c r="D107" s="325">
        <v>44417.425000000003</v>
      </c>
      <c r="E107" s="326" t="s">
        <v>283</v>
      </c>
      <c r="F107" s="327">
        <v>73</v>
      </c>
      <c r="G107" s="327">
        <v>92</v>
      </c>
      <c r="H107" s="327">
        <v>108</v>
      </c>
      <c r="I107" s="327">
        <v>88</v>
      </c>
      <c r="J107" s="327">
        <v>64</v>
      </c>
      <c r="K107" s="327">
        <v>68</v>
      </c>
      <c r="L107" s="327">
        <v>85</v>
      </c>
      <c r="M107" s="327">
        <v>80</v>
      </c>
      <c r="N107" s="327">
        <v>61</v>
      </c>
      <c r="O107" s="327" t="s">
        <v>259</v>
      </c>
      <c r="P107" s="62" t="s">
        <v>259</v>
      </c>
      <c r="Q107" s="62" t="s">
        <v>259</v>
      </c>
      <c r="R107" s="62" t="s">
        <v>259</v>
      </c>
      <c r="S107" s="327" t="s">
        <v>259</v>
      </c>
      <c r="T107" s="327" t="s">
        <v>259</v>
      </c>
      <c r="U107" s="327" t="s">
        <v>256</v>
      </c>
      <c r="V107" s="327" t="s">
        <v>256</v>
      </c>
      <c r="W107" s="327" t="s">
        <v>256</v>
      </c>
      <c r="X107" s="327" t="s">
        <v>256</v>
      </c>
      <c r="Y107" s="327" t="s">
        <v>284</v>
      </c>
      <c r="Z107" s="327" t="s">
        <v>256</v>
      </c>
      <c r="AA107" s="327" t="s">
        <v>256</v>
      </c>
      <c r="AB107" s="327" t="s">
        <v>256</v>
      </c>
      <c r="AC107" s="327" t="s">
        <v>256</v>
      </c>
      <c r="AD107" s="327" t="s">
        <v>256</v>
      </c>
      <c r="AE107" s="327" t="s">
        <v>256</v>
      </c>
      <c r="AF107" s="62" t="s">
        <v>256</v>
      </c>
      <c r="AG107" s="62" t="s">
        <v>256</v>
      </c>
      <c r="AH107" s="62" t="s">
        <v>256</v>
      </c>
      <c r="AI107" s="327" t="s">
        <v>256</v>
      </c>
      <c r="AJ107" s="327" t="s">
        <v>248</v>
      </c>
      <c r="AK107" s="327" t="s">
        <v>259</v>
      </c>
      <c r="AL107" s="327" t="s">
        <v>259</v>
      </c>
      <c r="AM107" s="327" t="s">
        <v>251</v>
      </c>
      <c r="AN107" s="327" t="s">
        <v>256</v>
      </c>
      <c r="AO107" s="327" t="s">
        <v>259</v>
      </c>
      <c r="AP107" s="62" t="s">
        <v>251</v>
      </c>
      <c r="AQ107" s="62" t="s">
        <v>256</v>
      </c>
      <c r="AR107" s="62" t="s">
        <v>256</v>
      </c>
      <c r="AS107" s="62" t="s">
        <v>285</v>
      </c>
      <c r="AT107" s="62" t="s">
        <v>259</v>
      </c>
      <c r="AU107" s="327" t="s">
        <v>284</v>
      </c>
      <c r="AV107" s="327" t="s">
        <v>259</v>
      </c>
      <c r="AW107" s="62" t="s">
        <v>256</v>
      </c>
      <c r="AX107" s="62" t="s">
        <v>256</v>
      </c>
      <c r="AY107" s="62" t="s">
        <v>256</v>
      </c>
      <c r="AZ107" s="62" t="s">
        <v>256</v>
      </c>
      <c r="BA107" s="62" t="s">
        <v>256</v>
      </c>
      <c r="BB107" s="62" t="s">
        <v>259</v>
      </c>
      <c r="BC107" s="62" t="s">
        <v>286</v>
      </c>
      <c r="BD107" s="62" t="s">
        <v>248</v>
      </c>
      <c r="BE107" s="62" t="s">
        <v>259</v>
      </c>
      <c r="BF107" s="62" t="s">
        <v>248</v>
      </c>
      <c r="BG107" s="327">
        <v>1.37</v>
      </c>
      <c r="BH107" s="327" t="s">
        <v>256</v>
      </c>
      <c r="BI107" s="327" t="s">
        <v>256</v>
      </c>
      <c r="BJ107" s="62" t="s">
        <v>256</v>
      </c>
      <c r="BK107" s="327" t="s">
        <v>256</v>
      </c>
      <c r="BL107" s="327" t="s">
        <v>256</v>
      </c>
      <c r="BM107" s="327" t="s">
        <v>259</v>
      </c>
      <c r="BN107" s="62" t="s">
        <v>256</v>
      </c>
      <c r="BO107" s="62" t="s">
        <v>259</v>
      </c>
      <c r="BP107" s="62" t="s">
        <v>284</v>
      </c>
      <c r="BQ107" s="62" t="s">
        <v>256</v>
      </c>
      <c r="BR107" s="327" t="s">
        <v>256</v>
      </c>
      <c r="BS107" s="327">
        <v>1.38</v>
      </c>
      <c r="BT107" s="327" t="s">
        <v>284</v>
      </c>
      <c r="BU107" s="327">
        <v>2.14</v>
      </c>
      <c r="BV107" s="327" t="s">
        <v>248</v>
      </c>
      <c r="BW107" s="62" t="s">
        <v>285</v>
      </c>
      <c r="BX107" s="62" t="s">
        <v>287</v>
      </c>
      <c r="BY107" s="62" t="s">
        <v>259</v>
      </c>
      <c r="BZ107" s="62" t="s">
        <v>259</v>
      </c>
      <c r="CA107" s="62">
        <v>1.8</v>
      </c>
      <c r="CB107" s="62" t="s">
        <v>254</v>
      </c>
      <c r="CC107" s="62">
        <v>203</v>
      </c>
      <c r="CD107" s="62" t="s">
        <v>230</v>
      </c>
      <c r="CE107" s="62">
        <v>0.24</v>
      </c>
      <c r="CF107" s="62">
        <v>6.1</v>
      </c>
      <c r="CG107" s="62">
        <v>13</v>
      </c>
      <c r="CH107" s="62">
        <v>777</v>
      </c>
      <c r="CI107" s="62">
        <v>1200</v>
      </c>
      <c r="CJ107" s="62" t="s">
        <v>254</v>
      </c>
      <c r="CK107" s="62">
        <v>65.5</v>
      </c>
      <c r="CL107" s="62">
        <v>560</v>
      </c>
      <c r="CM107" s="62">
        <v>6.3E-2</v>
      </c>
      <c r="CN107" s="62" t="s">
        <v>288</v>
      </c>
      <c r="CO107" s="62">
        <v>4</v>
      </c>
      <c r="CP107" s="62">
        <v>0.72</v>
      </c>
      <c r="CQ107" s="62" t="s">
        <v>254</v>
      </c>
      <c r="CR107" s="62" t="s">
        <v>254</v>
      </c>
      <c r="CS107" s="62">
        <v>15</v>
      </c>
      <c r="CT107" s="62" t="s">
        <v>284</v>
      </c>
      <c r="CU107" s="62">
        <v>0.15</v>
      </c>
      <c r="CV107" s="62">
        <v>440</v>
      </c>
      <c r="CW107" s="62">
        <v>2.2999999999999998</v>
      </c>
      <c r="CX107" s="62">
        <v>1</v>
      </c>
      <c r="CY107" s="62">
        <v>0.2</v>
      </c>
      <c r="CZ107" s="62">
        <v>7.68</v>
      </c>
      <c r="DA107" s="62">
        <v>1</v>
      </c>
      <c r="DB107" s="62">
        <v>2900</v>
      </c>
      <c r="DC107" s="62">
        <v>540</v>
      </c>
      <c r="DD107" s="62">
        <v>23.6</v>
      </c>
      <c r="DE107" s="62">
        <v>1800</v>
      </c>
      <c r="DF107" s="62" t="s">
        <v>289</v>
      </c>
      <c r="DG107" s="62">
        <v>4</v>
      </c>
      <c r="DH107" s="62">
        <v>4.7</v>
      </c>
      <c r="DI107" s="62">
        <v>2000</v>
      </c>
      <c r="DJ107" s="62" t="s">
        <v>392</v>
      </c>
      <c r="DK107" s="62" t="s">
        <v>393</v>
      </c>
      <c r="DL107" s="62" t="s">
        <v>394</v>
      </c>
      <c r="DM107" s="62">
        <v>7.8</v>
      </c>
      <c r="DN107" s="328">
        <v>8.26</v>
      </c>
      <c r="DO107" s="328">
        <v>2593</v>
      </c>
      <c r="DP107" s="328">
        <v>25.25</v>
      </c>
      <c r="DQ107" s="328">
        <v>5.78</v>
      </c>
    </row>
    <row r="108" spans="1:121" hidden="1" x14ac:dyDescent="0.25">
      <c r="A108" s="62" t="s">
        <v>376</v>
      </c>
      <c r="B108" s="56" t="str">
        <f>VLOOKUP(Table3[[#This Row],[Station]], StationName, 2, FALSE)</f>
        <v>L01-731-1 (L08TBN2)</v>
      </c>
      <c r="C108" s="362">
        <v>1874009</v>
      </c>
      <c r="D108" s="325">
        <v>44417.425000000003</v>
      </c>
      <c r="E108" s="326" t="s">
        <v>293</v>
      </c>
      <c r="F108" s="327" t="s">
        <v>294</v>
      </c>
      <c r="G108" s="327" t="s">
        <v>294</v>
      </c>
      <c r="H108" s="327" t="s">
        <v>294</v>
      </c>
      <c r="I108" s="327" t="s">
        <v>294</v>
      </c>
      <c r="J108" s="327" t="s">
        <v>294</v>
      </c>
      <c r="K108" s="327" t="s">
        <v>294</v>
      </c>
      <c r="L108" s="327" t="s">
        <v>294</v>
      </c>
      <c r="M108" s="327" t="s">
        <v>294</v>
      </c>
      <c r="N108" s="327" t="s">
        <v>294</v>
      </c>
      <c r="O108" s="327" t="s">
        <v>294</v>
      </c>
      <c r="P108" s="62" t="s">
        <v>294</v>
      </c>
      <c r="Q108" s="62" t="s">
        <v>294</v>
      </c>
      <c r="R108" s="62" t="s">
        <v>294</v>
      </c>
      <c r="S108" s="327" t="s">
        <v>294</v>
      </c>
      <c r="T108" s="327" t="s">
        <v>294</v>
      </c>
      <c r="U108" s="327" t="s">
        <v>294</v>
      </c>
      <c r="V108" s="327" t="s">
        <v>294</v>
      </c>
      <c r="W108" s="327" t="s">
        <v>294</v>
      </c>
      <c r="X108" s="327" t="s">
        <v>294</v>
      </c>
      <c r="Y108" s="327" t="s">
        <v>294</v>
      </c>
      <c r="Z108" s="327" t="s">
        <v>294</v>
      </c>
      <c r="AA108" s="327" t="s">
        <v>294</v>
      </c>
      <c r="AB108" s="327" t="s">
        <v>294</v>
      </c>
      <c r="AC108" s="327" t="s">
        <v>294</v>
      </c>
      <c r="AD108" s="327" t="s">
        <v>294</v>
      </c>
      <c r="AE108" s="327" t="s">
        <v>294</v>
      </c>
      <c r="AF108" s="62" t="s">
        <v>294</v>
      </c>
      <c r="AG108" s="62" t="s">
        <v>294</v>
      </c>
      <c r="AH108" s="62" t="s">
        <v>294</v>
      </c>
      <c r="AI108" s="327" t="s">
        <v>294</v>
      </c>
      <c r="AJ108" s="327" t="s">
        <v>294</v>
      </c>
      <c r="AK108" s="327" t="s">
        <v>294</v>
      </c>
      <c r="AL108" s="327" t="s">
        <v>294</v>
      </c>
      <c r="AM108" s="327" t="s">
        <v>294</v>
      </c>
      <c r="AN108" s="327" t="s">
        <v>294</v>
      </c>
      <c r="AO108" s="327" t="s">
        <v>294</v>
      </c>
      <c r="AP108" s="62" t="s">
        <v>294</v>
      </c>
      <c r="AQ108" s="62" t="s">
        <v>294</v>
      </c>
      <c r="AR108" s="62" t="s">
        <v>294</v>
      </c>
      <c r="AS108" s="62" t="s">
        <v>294</v>
      </c>
      <c r="AT108" s="62" t="s">
        <v>294</v>
      </c>
      <c r="AU108" s="327" t="s">
        <v>294</v>
      </c>
      <c r="AV108" s="327" t="s">
        <v>294</v>
      </c>
      <c r="AW108" s="62" t="s">
        <v>294</v>
      </c>
      <c r="AX108" s="62" t="s">
        <v>294</v>
      </c>
      <c r="AY108" s="62" t="s">
        <v>294</v>
      </c>
      <c r="AZ108" s="62" t="s">
        <v>294</v>
      </c>
      <c r="BA108" s="62" t="s">
        <v>294</v>
      </c>
      <c r="BB108" s="62" t="s">
        <v>294</v>
      </c>
      <c r="BC108" s="62" t="s">
        <v>294</v>
      </c>
      <c r="BD108" s="62" t="s">
        <v>294</v>
      </c>
      <c r="BE108" s="62" t="s">
        <v>294</v>
      </c>
      <c r="BF108" s="62" t="s">
        <v>294</v>
      </c>
      <c r="BG108" s="327" t="s">
        <v>294</v>
      </c>
      <c r="BH108" s="327" t="s">
        <v>294</v>
      </c>
      <c r="BI108" s="327" t="s">
        <v>294</v>
      </c>
      <c r="BJ108" s="62" t="s">
        <v>294</v>
      </c>
      <c r="BK108" s="327" t="s">
        <v>294</v>
      </c>
      <c r="BL108" s="327" t="s">
        <v>294</v>
      </c>
      <c r="BM108" s="327" t="s">
        <v>294</v>
      </c>
      <c r="BN108" s="62" t="s">
        <v>294</v>
      </c>
      <c r="BO108" s="62" t="s">
        <v>294</v>
      </c>
      <c r="BP108" s="62" t="s">
        <v>294</v>
      </c>
      <c r="BQ108" s="62" t="s">
        <v>294</v>
      </c>
      <c r="BR108" s="327" t="s">
        <v>294</v>
      </c>
      <c r="BS108" s="327" t="s">
        <v>294</v>
      </c>
      <c r="BT108" s="327" t="s">
        <v>294</v>
      </c>
      <c r="BU108" s="327" t="s">
        <v>294</v>
      </c>
      <c r="BV108" s="327" t="s">
        <v>294</v>
      </c>
      <c r="BW108" s="62" t="s">
        <v>294</v>
      </c>
      <c r="BX108" s="62" t="s">
        <v>294</v>
      </c>
      <c r="BY108" s="62" t="s">
        <v>294</v>
      </c>
      <c r="BZ108" s="62" t="s">
        <v>294</v>
      </c>
      <c r="CA108" s="62">
        <v>1.3</v>
      </c>
      <c r="CB108" s="62" t="s">
        <v>254</v>
      </c>
      <c r="CC108" s="62" t="s">
        <v>294</v>
      </c>
      <c r="CD108" s="62" t="s">
        <v>230</v>
      </c>
      <c r="CE108" s="62" t="s">
        <v>254</v>
      </c>
      <c r="CF108" s="62">
        <v>5.2</v>
      </c>
      <c r="CG108" s="62" t="s">
        <v>294</v>
      </c>
      <c r="CH108" s="62" t="s">
        <v>294</v>
      </c>
      <c r="CI108" s="62">
        <v>31</v>
      </c>
      <c r="CJ108" s="62" t="s">
        <v>254</v>
      </c>
      <c r="CK108" s="62" t="s">
        <v>294</v>
      </c>
      <c r="CL108" s="62">
        <v>530</v>
      </c>
      <c r="CM108" s="62" t="s">
        <v>294</v>
      </c>
      <c r="CN108" s="62" t="s">
        <v>288</v>
      </c>
      <c r="CO108" s="62">
        <v>3.8</v>
      </c>
      <c r="CP108" s="62">
        <v>0.68</v>
      </c>
      <c r="CQ108" s="62" t="s">
        <v>254</v>
      </c>
      <c r="CR108" s="62" t="s">
        <v>254</v>
      </c>
      <c r="CS108" s="62" t="s">
        <v>294</v>
      </c>
      <c r="CT108" s="62" t="s">
        <v>284</v>
      </c>
      <c r="CU108" s="62" t="s">
        <v>294</v>
      </c>
      <c r="CV108" s="62" t="s">
        <v>294</v>
      </c>
      <c r="CW108" s="62" t="s">
        <v>294</v>
      </c>
      <c r="CX108" s="62" t="s">
        <v>294</v>
      </c>
      <c r="CY108" s="62" t="s">
        <v>294</v>
      </c>
      <c r="CZ108" s="62" t="s">
        <v>294</v>
      </c>
      <c r="DA108" s="62" t="s">
        <v>294</v>
      </c>
      <c r="DB108" s="62" t="s">
        <v>294</v>
      </c>
      <c r="DC108" s="62" t="s">
        <v>294</v>
      </c>
      <c r="DD108" s="62" t="s">
        <v>294</v>
      </c>
      <c r="DE108" s="62" t="s">
        <v>294</v>
      </c>
      <c r="DF108" s="62" t="s">
        <v>294</v>
      </c>
      <c r="DG108" s="62" t="s">
        <v>294</v>
      </c>
      <c r="DH108" s="62" t="s">
        <v>294</v>
      </c>
      <c r="DI108" s="62" t="s">
        <v>294</v>
      </c>
      <c r="DJ108" s="62" t="s">
        <v>294</v>
      </c>
      <c r="DK108" s="62" t="s">
        <v>294</v>
      </c>
      <c r="DL108" s="62" t="s">
        <v>294</v>
      </c>
      <c r="DM108" s="62" t="s">
        <v>294</v>
      </c>
      <c r="DN108" s="328" t="s">
        <v>294</v>
      </c>
      <c r="DO108" s="328" t="s">
        <v>294</v>
      </c>
      <c r="DP108" s="328" t="s">
        <v>294</v>
      </c>
      <c r="DQ108" s="328" t="s">
        <v>294</v>
      </c>
    </row>
    <row r="109" spans="1:121" x14ac:dyDescent="0.25">
      <c r="A109" s="62" t="s">
        <v>395</v>
      </c>
      <c r="B109" s="56" t="e">
        <f>VLOOKUP(Table3[[#This Row],[Station]], StationName, 2, FALSE)</f>
        <v>#N/A</v>
      </c>
      <c r="C109" s="362">
        <v>1911005</v>
      </c>
      <c r="D109" s="325">
        <v>44439.373611111114</v>
      </c>
      <c r="E109" s="326" t="s">
        <v>283</v>
      </c>
      <c r="F109" s="327" t="s">
        <v>294</v>
      </c>
      <c r="G109" s="327" t="s">
        <v>294</v>
      </c>
      <c r="H109" s="327" t="s">
        <v>294</v>
      </c>
      <c r="I109" s="327" t="s">
        <v>294</v>
      </c>
      <c r="J109" s="327" t="s">
        <v>294</v>
      </c>
      <c r="K109" s="327" t="s">
        <v>294</v>
      </c>
      <c r="L109" s="327" t="s">
        <v>294</v>
      </c>
      <c r="M109" s="327" t="s">
        <v>294</v>
      </c>
      <c r="N109" s="327" t="s">
        <v>294</v>
      </c>
      <c r="O109" s="327" t="s">
        <v>294</v>
      </c>
      <c r="P109" s="62" t="s">
        <v>294</v>
      </c>
      <c r="Q109" s="62" t="s">
        <v>294</v>
      </c>
      <c r="R109" s="62" t="s">
        <v>294</v>
      </c>
      <c r="S109" s="327" t="s">
        <v>294</v>
      </c>
      <c r="T109" s="327" t="s">
        <v>294</v>
      </c>
      <c r="U109" s="327" t="s">
        <v>294</v>
      </c>
      <c r="V109" s="327" t="s">
        <v>294</v>
      </c>
      <c r="W109" s="327" t="s">
        <v>294</v>
      </c>
      <c r="X109" s="327" t="s">
        <v>294</v>
      </c>
      <c r="Y109" s="327" t="s">
        <v>294</v>
      </c>
      <c r="Z109" s="327" t="s">
        <v>294</v>
      </c>
      <c r="AA109" s="327" t="s">
        <v>294</v>
      </c>
      <c r="AB109" s="327" t="s">
        <v>294</v>
      </c>
      <c r="AC109" s="327" t="s">
        <v>294</v>
      </c>
      <c r="AD109" s="327" t="s">
        <v>294</v>
      </c>
      <c r="AE109" s="327" t="s">
        <v>294</v>
      </c>
      <c r="AF109" s="62" t="s">
        <v>294</v>
      </c>
      <c r="AG109" s="62" t="s">
        <v>294</v>
      </c>
      <c r="AH109" s="62" t="s">
        <v>294</v>
      </c>
      <c r="AI109" s="327" t="s">
        <v>294</v>
      </c>
      <c r="AJ109" s="327" t="s">
        <v>294</v>
      </c>
      <c r="AK109" s="327" t="s">
        <v>294</v>
      </c>
      <c r="AL109" s="327" t="s">
        <v>294</v>
      </c>
      <c r="AM109" s="327" t="s">
        <v>294</v>
      </c>
      <c r="AN109" s="327" t="s">
        <v>294</v>
      </c>
      <c r="AO109" s="327" t="s">
        <v>294</v>
      </c>
      <c r="AP109" s="62" t="s">
        <v>294</v>
      </c>
      <c r="AQ109" s="62" t="s">
        <v>294</v>
      </c>
      <c r="AR109" s="62" t="s">
        <v>294</v>
      </c>
      <c r="AS109" s="62" t="s">
        <v>294</v>
      </c>
      <c r="AT109" s="62" t="s">
        <v>294</v>
      </c>
      <c r="AU109" s="327" t="s">
        <v>294</v>
      </c>
      <c r="AV109" s="327" t="s">
        <v>294</v>
      </c>
      <c r="AW109" s="62" t="s">
        <v>294</v>
      </c>
      <c r="AX109" s="62" t="s">
        <v>294</v>
      </c>
      <c r="AY109" s="62" t="s">
        <v>294</v>
      </c>
      <c r="AZ109" s="62" t="s">
        <v>294</v>
      </c>
      <c r="BA109" s="62" t="s">
        <v>294</v>
      </c>
      <c r="BB109" s="62" t="s">
        <v>294</v>
      </c>
      <c r="BC109" s="62" t="s">
        <v>294</v>
      </c>
      <c r="BD109" s="62" t="s">
        <v>294</v>
      </c>
      <c r="BE109" s="62" t="s">
        <v>294</v>
      </c>
      <c r="BF109" s="62" t="s">
        <v>294</v>
      </c>
      <c r="BG109" s="327" t="s">
        <v>294</v>
      </c>
      <c r="BH109" s="327" t="s">
        <v>294</v>
      </c>
      <c r="BI109" s="327" t="s">
        <v>294</v>
      </c>
      <c r="BJ109" s="62" t="s">
        <v>294</v>
      </c>
      <c r="BK109" s="327" t="s">
        <v>294</v>
      </c>
      <c r="BL109" s="327" t="s">
        <v>294</v>
      </c>
      <c r="BM109" s="327" t="s">
        <v>294</v>
      </c>
      <c r="BN109" s="62" t="s">
        <v>294</v>
      </c>
      <c r="BO109" s="62" t="s">
        <v>294</v>
      </c>
      <c r="BP109" s="62" t="s">
        <v>294</v>
      </c>
      <c r="BQ109" s="62" t="s">
        <v>294</v>
      </c>
      <c r="BR109" s="327" t="s">
        <v>294</v>
      </c>
      <c r="BS109" s="327" t="s">
        <v>294</v>
      </c>
      <c r="BT109" s="327" t="s">
        <v>294</v>
      </c>
      <c r="BU109" s="327" t="s">
        <v>294</v>
      </c>
      <c r="BV109" s="327" t="s">
        <v>294</v>
      </c>
      <c r="BW109" s="62" t="s">
        <v>294</v>
      </c>
      <c r="BX109" s="62" t="s">
        <v>294</v>
      </c>
      <c r="BY109" s="62" t="s">
        <v>294</v>
      </c>
      <c r="BZ109" s="62" t="s">
        <v>294</v>
      </c>
      <c r="CA109" s="62" t="s">
        <v>294</v>
      </c>
      <c r="CB109" s="62" t="s">
        <v>294</v>
      </c>
      <c r="CC109" s="62" t="s">
        <v>294</v>
      </c>
      <c r="CD109" s="62" t="s">
        <v>294</v>
      </c>
      <c r="CE109" s="62" t="s">
        <v>294</v>
      </c>
      <c r="CF109" s="62" t="s">
        <v>294</v>
      </c>
      <c r="CG109" s="62" t="s">
        <v>294</v>
      </c>
      <c r="CH109" s="62" t="s">
        <v>294</v>
      </c>
      <c r="CI109" s="62" t="s">
        <v>294</v>
      </c>
      <c r="CJ109" s="62" t="s">
        <v>294</v>
      </c>
      <c r="CK109" s="62" t="s">
        <v>294</v>
      </c>
      <c r="CL109" s="62" t="s">
        <v>294</v>
      </c>
      <c r="CM109" s="62" t="s">
        <v>294</v>
      </c>
      <c r="CN109" s="62" t="s">
        <v>294</v>
      </c>
      <c r="CO109" s="62" t="s">
        <v>294</v>
      </c>
      <c r="CP109" s="62" t="s">
        <v>294</v>
      </c>
      <c r="CQ109" s="62" t="s">
        <v>294</v>
      </c>
      <c r="CR109" s="62" t="s">
        <v>294</v>
      </c>
      <c r="CS109" s="62" t="s">
        <v>294</v>
      </c>
      <c r="CT109" s="62" t="s">
        <v>294</v>
      </c>
      <c r="CU109" s="62" t="s">
        <v>294</v>
      </c>
      <c r="CV109" s="62" t="s">
        <v>294</v>
      </c>
      <c r="CW109" s="62" t="s">
        <v>294</v>
      </c>
      <c r="CX109" s="62" t="s">
        <v>294</v>
      </c>
      <c r="CY109" s="62" t="s">
        <v>294</v>
      </c>
      <c r="CZ109" s="62" t="s">
        <v>294</v>
      </c>
      <c r="DA109" s="62" t="s">
        <v>294</v>
      </c>
      <c r="DB109" s="62" t="s">
        <v>294</v>
      </c>
      <c r="DC109" s="62" t="s">
        <v>294</v>
      </c>
      <c r="DD109" s="62" t="s">
        <v>294</v>
      </c>
      <c r="DE109" s="62" t="s">
        <v>294</v>
      </c>
      <c r="DF109" s="62" t="s">
        <v>294</v>
      </c>
      <c r="DG109" s="62" t="s">
        <v>294</v>
      </c>
      <c r="DH109" s="62" t="s">
        <v>294</v>
      </c>
      <c r="DI109" s="62">
        <v>110</v>
      </c>
      <c r="DJ109" s="62">
        <v>200</v>
      </c>
      <c r="DK109" s="62">
        <v>210</v>
      </c>
      <c r="DL109" s="62" t="s">
        <v>362</v>
      </c>
      <c r="DM109" s="62">
        <v>6.17</v>
      </c>
      <c r="DN109" s="328">
        <v>7.52</v>
      </c>
      <c r="DO109" s="328">
        <v>5065</v>
      </c>
      <c r="DP109" s="328">
        <v>21.3</v>
      </c>
      <c r="DQ109" s="328" t="s">
        <v>294</v>
      </c>
    </row>
    <row r="110" spans="1:121" hidden="1" x14ac:dyDescent="0.25">
      <c r="A110" s="62" t="s">
        <v>338</v>
      </c>
      <c r="B110" s="56" t="str">
        <f>VLOOKUP(Table3[[#This Row],[Station]], StationName, 2, FALSE)</f>
        <v>K01-12177-1 (K01P07)</v>
      </c>
      <c r="C110" s="362">
        <v>1911003</v>
      </c>
      <c r="D110" s="325">
        <v>44439.408333333333</v>
      </c>
      <c r="E110" s="326" t="s">
        <v>293</v>
      </c>
      <c r="F110" s="327" t="s">
        <v>294</v>
      </c>
      <c r="G110" s="327" t="s">
        <v>294</v>
      </c>
      <c r="H110" s="327" t="s">
        <v>294</v>
      </c>
      <c r="I110" s="327" t="s">
        <v>294</v>
      </c>
      <c r="J110" s="327" t="s">
        <v>294</v>
      </c>
      <c r="K110" s="327" t="s">
        <v>294</v>
      </c>
      <c r="L110" s="327" t="s">
        <v>294</v>
      </c>
      <c r="M110" s="327" t="s">
        <v>294</v>
      </c>
      <c r="N110" s="327" t="s">
        <v>294</v>
      </c>
      <c r="O110" s="327" t="s">
        <v>294</v>
      </c>
      <c r="P110" s="62" t="s">
        <v>294</v>
      </c>
      <c r="Q110" s="62" t="s">
        <v>294</v>
      </c>
      <c r="R110" s="62" t="s">
        <v>294</v>
      </c>
      <c r="S110" s="327" t="s">
        <v>294</v>
      </c>
      <c r="T110" s="327" t="s">
        <v>294</v>
      </c>
      <c r="U110" s="327" t="s">
        <v>294</v>
      </c>
      <c r="V110" s="327" t="s">
        <v>294</v>
      </c>
      <c r="W110" s="327" t="s">
        <v>294</v>
      </c>
      <c r="X110" s="327" t="s">
        <v>294</v>
      </c>
      <c r="Y110" s="327" t="s">
        <v>294</v>
      </c>
      <c r="Z110" s="327" t="s">
        <v>294</v>
      </c>
      <c r="AA110" s="327" t="s">
        <v>294</v>
      </c>
      <c r="AB110" s="327" t="s">
        <v>294</v>
      </c>
      <c r="AC110" s="327" t="s">
        <v>294</v>
      </c>
      <c r="AD110" s="327" t="s">
        <v>294</v>
      </c>
      <c r="AE110" s="327" t="s">
        <v>294</v>
      </c>
      <c r="AF110" s="62" t="s">
        <v>294</v>
      </c>
      <c r="AG110" s="62" t="s">
        <v>294</v>
      </c>
      <c r="AH110" s="62" t="s">
        <v>294</v>
      </c>
      <c r="AI110" s="327" t="s">
        <v>294</v>
      </c>
      <c r="AJ110" s="327" t="s">
        <v>294</v>
      </c>
      <c r="AK110" s="327" t="s">
        <v>294</v>
      </c>
      <c r="AL110" s="327" t="s">
        <v>294</v>
      </c>
      <c r="AM110" s="327" t="s">
        <v>294</v>
      </c>
      <c r="AN110" s="327" t="s">
        <v>294</v>
      </c>
      <c r="AO110" s="327" t="s">
        <v>294</v>
      </c>
      <c r="AP110" s="62" t="s">
        <v>294</v>
      </c>
      <c r="AQ110" s="62" t="s">
        <v>294</v>
      </c>
      <c r="AR110" s="62" t="s">
        <v>294</v>
      </c>
      <c r="AS110" s="62" t="s">
        <v>294</v>
      </c>
      <c r="AT110" s="62" t="s">
        <v>294</v>
      </c>
      <c r="AU110" s="327" t="s">
        <v>294</v>
      </c>
      <c r="AV110" s="327" t="s">
        <v>294</v>
      </c>
      <c r="AW110" s="62" t="s">
        <v>294</v>
      </c>
      <c r="AX110" s="62" t="s">
        <v>294</v>
      </c>
      <c r="AY110" s="62" t="s">
        <v>294</v>
      </c>
      <c r="AZ110" s="62" t="s">
        <v>294</v>
      </c>
      <c r="BA110" s="62" t="s">
        <v>294</v>
      </c>
      <c r="BB110" s="62" t="s">
        <v>294</v>
      </c>
      <c r="BC110" s="62" t="s">
        <v>294</v>
      </c>
      <c r="BD110" s="62" t="s">
        <v>294</v>
      </c>
      <c r="BE110" s="62" t="s">
        <v>294</v>
      </c>
      <c r="BF110" s="62" t="s">
        <v>294</v>
      </c>
      <c r="BG110" s="327" t="s">
        <v>294</v>
      </c>
      <c r="BH110" s="327" t="s">
        <v>294</v>
      </c>
      <c r="BI110" s="327" t="s">
        <v>294</v>
      </c>
      <c r="BJ110" s="62" t="s">
        <v>294</v>
      </c>
      <c r="BK110" s="327" t="s">
        <v>294</v>
      </c>
      <c r="BL110" s="327" t="s">
        <v>294</v>
      </c>
      <c r="BM110" s="327" t="s">
        <v>294</v>
      </c>
      <c r="BN110" s="62" t="s">
        <v>294</v>
      </c>
      <c r="BO110" s="62" t="s">
        <v>294</v>
      </c>
      <c r="BP110" s="62" t="s">
        <v>294</v>
      </c>
      <c r="BQ110" s="62" t="s">
        <v>294</v>
      </c>
      <c r="BR110" s="327" t="s">
        <v>294</v>
      </c>
      <c r="BS110" s="327" t="s">
        <v>294</v>
      </c>
      <c r="BT110" s="327" t="s">
        <v>294</v>
      </c>
      <c r="BU110" s="327" t="s">
        <v>294</v>
      </c>
      <c r="BV110" s="327" t="s">
        <v>294</v>
      </c>
      <c r="BW110" s="62" t="s">
        <v>294</v>
      </c>
      <c r="BX110" s="62" t="s">
        <v>294</v>
      </c>
      <c r="BY110" s="62" t="s">
        <v>294</v>
      </c>
      <c r="BZ110" s="62" t="s">
        <v>294</v>
      </c>
      <c r="CA110" s="62">
        <v>2</v>
      </c>
      <c r="CB110" s="62">
        <v>0.34</v>
      </c>
      <c r="CC110" s="62" t="s">
        <v>294</v>
      </c>
      <c r="CD110" s="62">
        <v>0.38</v>
      </c>
      <c r="CE110" s="62">
        <v>0.24</v>
      </c>
      <c r="CF110" s="62">
        <v>11</v>
      </c>
      <c r="CG110" s="62" t="s">
        <v>294</v>
      </c>
      <c r="CH110" s="62" t="s">
        <v>294</v>
      </c>
      <c r="CI110" s="62">
        <v>22</v>
      </c>
      <c r="CJ110" s="62" t="s">
        <v>254</v>
      </c>
      <c r="CK110" s="62" t="s">
        <v>294</v>
      </c>
      <c r="CL110" s="62">
        <v>19</v>
      </c>
      <c r="CM110" s="62" t="s">
        <v>294</v>
      </c>
      <c r="CN110" s="62" t="s">
        <v>288</v>
      </c>
      <c r="CO110" s="62">
        <v>6.6</v>
      </c>
      <c r="CP110" s="62">
        <v>4.0999999999999996</v>
      </c>
      <c r="CQ110" s="62" t="s">
        <v>254</v>
      </c>
      <c r="CR110" s="62" t="s">
        <v>254</v>
      </c>
      <c r="CS110" s="62" t="s">
        <v>294</v>
      </c>
      <c r="CT110" s="62">
        <v>10</v>
      </c>
      <c r="CU110" s="62" t="s">
        <v>294</v>
      </c>
      <c r="CV110" s="62" t="s">
        <v>294</v>
      </c>
      <c r="CW110" s="62" t="s">
        <v>294</v>
      </c>
      <c r="CX110" s="62" t="s">
        <v>294</v>
      </c>
      <c r="CY110" s="62" t="s">
        <v>294</v>
      </c>
      <c r="CZ110" s="62" t="s">
        <v>294</v>
      </c>
      <c r="DA110" s="62" t="s">
        <v>294</v>
      </c>
      <c r="DB110" s="62" t="s">
        <v>294</v>
      </c>
      <c r="DC110" s="62" t="s">
        <v>294</v>
      </c>
      <c r="DD110" s="62" t="s">
        <v>294</v>
      </c>
      <c r="DE110" s="62" t="s">
        <v>294</v>
      </c>
      <c r="DF110" s="62" t="s">
        <v>294</v>
      </c>
      <c r="DG110" s="62" t="s">
        <v>294</v>
      </c>
      <c r="DH110" s="62" t="s">
        <v>294</v>
      </c>
      <c r="DI110" s="62" t="s">
        <v>294</v>
      </c>
      <c r="DJ110" s="62" t="s">
        <v>294</v>
      </c>
      <c r="DK110" s="62" t="s">
        <v>294</v>
      </c>
      <c r="DL110" s="62" t="s">
        <v>294</v>
      </c>
      <c r="DM110" s="62" t="s">
        <v>294</v>
      </c>
      <c r="DN110" s="328" t="s">
        <v>294</v>
      </c>
      <c r="DO110" s="328" t="s">
        <v>294</v>
      </c>
      <c r="DP110" s="328" t="s">
        <v>294</v>
      </c>
      <c r="DQ110" s="328" t="s">
        <v>294</v>
      </c>
    </row>
    <row r="111" spans="1:121" x14ac:dyDescent="0.25">
      <c r="A111" s="62" t="s">
        <v>305</v>
      </c>
      <c r="B111" s="56" t="str">
        <f>VLOOKUP(Table3[[#This Row],[Station]], StationName, 2, FALSE)</f>
        <v>I01-11343-2 (I02P18)</v>
      </c>
      <c r="C111" s="362">
        <v>1858005</v>
      </c>
      <c r="D111" s="325">
        <v>44439.410416666666</v>
      </c>
      <c r="E111" s="326" t="s">
        <v>283</v>
      </c>
      <c r="F111" s="327">
        <v>89</v>
      </c>
      <c r="G111" s="327">
        <v>105</v>
      </c>
      <c r="H111" s="327">
        <v>65</v>
      </c>
      <c r="I111" s="327">
        <v>79</v>
      </c>
      <c r="J111" s="327">
        <v>72</v>
      </c>
      <c r="K111" s="327">
        <v>67</v>
      </c>
      <c r="L111" s="327">
        <v>82</v>
      </c>
      <c r="M111" s="327">
        <v>92</v>
      </c>
      <c r="N111" s="327">
        <v>54</v>
      </c>
      <c r="O111" s="327" t="s">
        <v>259</v>
      </c>
      <c r="P111" s="62" t="s">
        <v>259</v>
      </c>
      <c r="Q111" s="62" t="s">
        <v>259</v>
      </c>
      <c r="R111" s="62" t="s">
        <v>259</v>
      </c>
      <c r="S111" s="327" t="s">
        <v>259</v>
      </c>
      <c r="T111" s="327" t="s">
        <v>259</v>
      </c>
      <c r="U111" s="327">
        <v>4.3</v>
      </c>
      <c r="V111" s="327" t="s">
        <v>256</v>
      </c>
      <c r="W111" s="327" t="s">
        <v>256</v>
      </c>
      <c r="X111" s="327" t="s">
        <v>256</v>
      </c>
      <c r="Y111" s="327" t="s">
        <v>284</v>
      </c>
      <c r="Z111" s="327">
        <v>2.04</v>
      </c>
      <c r="AA111" s="327" t="s">
        <v>256</v>
      </c>
      <c r="AB111" s="327" t="s">
        <v>256</v>
      </c>
      <c r="AC111" s="327" t="s">
        <v>256</v>
      </c>
      <c r="AD111" s="327">
        <v>7.39</v>
      </c>
      <c r="AE111" s="327" t="s">
        <v>256</v>
      </c>
      <c r="AF111" s="62" t="s">
        <v>256</v>
      </c>
      <c r="AG111" s="62" t="s">
        <v>256</v>
      </c>
      <c r="AH111" s="62" t="s">
        <v>256</v>
      </c>
      <c r="AI111" s="327" t="s">
        <v>256</v>
      </c>
      <c r="AJ111" s="327" t="s">
        <v>248</v>
      </c>
      <c r="AK111" s="327" t="s">
        <v>259</v>
      </c>
      <c r="AL111" s="327" t="s">
        <v>259</v>
      </c>
      <c r="AM111" s="327" t="s">
        <v>251</v>
      </c>
      <c r="AN111" s="327">
        <v>2.08</v>
      </c>
      <c r="AO111" s="327" t="s">
        <v>259</v>
      </c>
      <c r="AP111" s="62" t="s">
        <v>251</v>
      </c>
      <c r="AQ111" s="62" t="s">
        <v>256</v>
      </c>
      <c r="AR111" s="62" t="s">
        <v>256</v>
      </c>
      <c r="AS111" s="62" t="s">
        <v>285</v>
      </c>
      <c r="AT111" s="62" t="s">
        <v>259</v>
      </c>
      <c r="AU111" s="327" t="s">
        <v>284</v>
      </c>
      <c r="AV111" s="327" t="s">
        <v>259</v>
      </c>
      <c r="AW111" s="62" t="s">
        <v>256</v>
      </c>
      <c r="AX111" s="62" t="s">
        <v>256</v>
      </c>
      <c r="AY111" s="62" t="s">
        <v>256</v>
      </c>
      <c r="AZ111" s="62" t="s">
        <v>256</v>
      </c>
      <c r="BA111" s="62" t="s">
        <v>256</v>
      </c>
      <c r="BB111" s="62" t="s">
        <v>259</v>
      </c>
      <c r="BC111" s="62" t="s">
        <v>286</v>
      </c>
      <c r="BD111" s="62" t="s">
        <v>248</v>
      </c>
      <c r="BE111" s="62" t="s">
        <v>259</v>
      </c>
      <c r="BF111" s="62" t="s">
        <v>248</v>
      </c>
      <c r="BG111" s="327">
        <v>6.42</v>
      </c>
      <c r="BH111" s="327" t="s">
        <v>256</v>
      </c>
      <c r="BI111" s="327" t="s">
        <v>256</v>
      </c>
      <c r="BJ111" s="62" t="s">
        <v>256</v>
      </c>
      <c r="BK111" s="327" t="s">
        <v>256</v>
      </c>
      <c r="BL111" s="327" t="s">
        <v>256</v>
      </c>
      <c r="BM111" s="327" t="s">
        <v>259</v>
      </c>
      <c r="BN111" s="62" t="s">
        <v>256</v>
      </c>
      <c r="BO111" s="62" t="s">
        <v>259</v>
      </c>
      <c r="BP111" s="62" t="s">
        <v>284</v>
      </c>
      <c r="BQ111" s="62" t="s">
        <v>256</v>
      </c>
      <c r="BR111" s="327">
        <v>10.4</v>
      </c>
      <c r="BS111" s="327">
        <v>3.31</v>
      </c>
      <c r="BT111" s="327" t="s">
        <v>284</v>
      </c>
      <c r="BU111" s="327">
        <v>6.94</v>
      </c>
      <c r="BV111" s="327" t="s">
        <v>248</v>
      </c>
      <c r="BW111" s="62" t="s">
        <v>285</v>
      </c>
      <c r="BX111" s="62" t="s">
        <v>287</v>
      </c>
      <c r="BY111" s="62" t="s">
        <v>259</v>
      </c>
      <c r="BZ111" s="62" t="s">
        <v>259</v>
      </c>
      <c r="CA111" s="62">
        <v>25</v>
      </c>
      <c r="CB111" s="62">
        <v>0.25</v>
      </c>
      <c r="CC111" s="62">
        <v>136</v>
      </c>
      <c r="CD111" s="62" t="s">
        <v>230</v>
      </c>
      <c r="CE111" s="62">
        <v>0.28000000000000003</v>
      </c>
      <c r="CF111" s="62">
        <v>7.2</v>
      </c>
      <c r="CG111" s="62">
        <v>20</v>
      </c>
      <c r="CH111" s="62">
        <v>633</v>
      </c>
      <c r="CI111" s="62">
        <v>1100</v>
      </c>
      <c r="CJ111" s="62">
        <v>1.3</v>
      </c>
      <c r="CK111" s="62">
        <v>71</v>
      </c>
      <c r="CL111" s="62">
        <v>260</v>
      </c>
      <c r="CM111" s="62">
        <v>9.6000000000000002E-2</v>
      </c>
      <c r="CN111" s="62" t="s">
        <v>288</v>
      </c>
      <c r="CO111" s="62">
        <v>5.9</v>
      </c>
      <c r="CP111" s="62">
        <v>1</v>
      </c>
      <c r="CQ111" s="62" t="s">
        <v>254</v>
      </c>
      <c r="CR111" s="62" t="s">
        <v>254</v>
      </c>
      <c r="CS111" s="62">
        <v>19</v>
      </c>
      <c r="CT111" s="62">
        <v>30</v>
      </c>
      <c r="CU111" s="62" t="s">
        <v>153</v>
      </c>
      <c r="CV111" s="62">
        <v>360</v>
      </c>
      <c r="CW111" s="62">
        <v>12</v>
      </c>
      <c r="CX111" s="62">
        <v>2.8</v>
      </c>
      <c r="CY111" s="62">
        <v>2.2999999999999998</v>
      </c>
      <c r="CZ111" s="62">
        <v>7.53</v>
      </c>
      <c r="DA111" s="62">
        <v>9</v>
      </c>
      <c r="DB111" s="62">
        <v>3000</v>
      </c>
      <c r="DC111" s="62">
        <v>500</v>
      </c>
      <c r="DD111" s="62">
        <v>16.100000000000001</v>
      </c>
      <c r="DE111" s="62">
        <v>1600</v>
      </c>
      <c r="DF111" s="62" t="s">
        <v>289</v>
      </c>
      <c r="DG111" s="62">
        <v>7.1</v>
      </c>
      <c r="DH111" s="62">
        <v>4.2</v>
      </c>
      <c r="DI111" s="62">
        <v>15000</v>
      </c>
      <c r="DJ111" s="62" t="s">
        <v>396</v>
      </c>
      <c r="DK111" s="62" t="s">
        <v>397</v>
      </c>
      <c r="DL111" s="62" t="s">
        <v>398</v>
      </c>
      <c r="DM111" s="62">
        <v>6.37</v>
      </c>
      <c r="DN111" s="328">
        <v>7.87</v>
      </c>
      <c r="DO111" s="328">
        <v>2605.3000000000002</v>
      </c>
      <c r="DP111" s="328">
        <v>21.29</v>
      </c>
      <c r="DQ111" s="328">
        <v>3.8</v>
      </c>
    </row>
    <row r="112" spans="1:121" hidden="1" x14ac:dyDescent="0.25">
      <c r="A112" s="62" t="s">
        <v>305</v>
      </c>
      <c r="B112" s="56" t="str">
        <f>VLOOKUP(Table3[[#This Row],[Station]], StationName, 2, FALSE)</f>
        <v>I01-11343-2 (I02P18)</v>
      </c>
      <c r="C112" s="362">
        <v>1858006</v>
      </c>
      <c r="D112" s="325">
        <v>44439.410416666666</v>
      </c>
      <c r="E112" s="326" t="s">
        <v>293</v>
      </c>
      <c r="F112" s="327" t="s">
        <v>294</v>
      </c>
      <c r="G112" s="327" t="s">
        <v>294</v>
      </c>
      <c r="H112" s="327" t="s">
        <v>294</v>
      </c>
      <c r="I112" s="327" t="s">
        <v>294</v>
      </c>
      <c r="J112" s="327" t="s">
        <v>294</v>
      </c>
      <c r="K112" s="327" t="s">
        <v>294</v>
      </c>
      <c r="L112" s="327" t="s">
        <v>294</v>
      </c>
      <c r="M112" s="327" t="s">
        <v>294</v>
      </c>
      <c r="N112" s="327" t="s">
        <v>294</v>
      </c>
      <c r="O112" s="327" t="s">
        <v>294</v>
      </c>
      <c r="P112" s="62" t="s">
        <v>294</v>
      </c>
      <c r="Q112" s="62" t="s">
        <v>294</v>
      </c>
      <c r="R112" s="62" t="s">
        <v>294</v>
      </c>
      <c r="S112" s="327" t="s">
        <v>294</v>
      </c>
      <c r="T112" s="327" t="s">
        <v>294</v>
      </c>
      <c r="U112" s="327" t="s">
        <v>294</v>
      </c>
      <c r="V112" s="327" t="s">
        <v>294</v>
      </c>
      <c r="W112" s="327" t="s">
        <v>294</v>
      </c>
      <c r="X112" s="327" t="s">
        <v>294</v>
      </c>
      <c r="Y112" s="327" t="s">
        <v>294</v>
      </c>
      <c r="Z112" s="327" t="s">
        <v>294</v>
      </c>
      <c r="AA112" s="327" t="s">
        <v>294</v>
      </c>
      <c r="AB112" s="327" t="s">
        <v>294</v>
      </c>
      <c r="AC112" s="327" t="s">
        <v>294</v>
      </c>
      <c r="AD112" s="327" t="s">
        <v>294</v>
      </c>
      <c r="AE112" s="327" t="s">
        <v>294</v>
      </c>
      <c r="AF112" s="62" t="s">
        <v>294</v>
      </c>
      <c r="AG112" s="62" t="s">
        <v>294</v>
      </c>
      <c r="AH112" s="62" t="s">
        <v>294</v>
      </c>
      <c r="AI112" s="327" t="s">
        <v>294</v>
      </c>
      <c r="AJ112" s="327" t="s">
        <v>294</v>
      </c>
      <c r="AK112" s="327" t="s">
        <v>294</v>
      </c>
      <c r="AL112" s="327" t="s">
        <v>294</v>
      </c>
      <c r="AM112" s="327" t="s">
        <v>294</v>
      </c>
      <c r="AN112" s="327" t="s">
        <v>294</v>
      </c>
      <c r="AO112" s="327" t="s">
        <v>294</v>
      </c>
      <c r="AP112" s="62" t="s">
        <v>294</v>
      </c>
      <c r="AQ112" s="62" t="s">
        <v>294</v>
      </c>
      <c r="AR112" s="62" t="s">
        <v>294</v>
      </c>
      <c r="AS112" s="62" t="s">
        <v>294</v>
      </c>
      <c r="AT112" s="62" t="s">
        <v>294</v>
      </c>
      <c r="AU112" s="327" t="s">
        <v>294</v>
      </c>
      <c r="AV112" s="327" t="s">
        <v>294</v>
      </c>
      <c r="AW112" s="62" t="s">
        <v>294</v>
      </c>
      <c r="AX112" s="62" t="s">
        <v>294</v>
      </c>
      <c r="AY112" s="62" t="s">
        <v>294</v>
      </c>
      <c r="AZ112" s="62" t="s">
        <v>294</v>
      </c>
      <c r="BA112" s="62" t="s">
        <v>294</v>
      </c>
      <c r="BB112" s="62" t="s">
        <v>294</v>
      </c>
      <c r="BC112" s="62" t="s">
        <v>294</v>
      </c>
      <c r="BD112" s="62" t="s">
        <v>294</v>
      </c>
      <c r="BE112" s="62" t="s">
        <v>294</v>
      </c>
      <c r="BF112" s="62" t="s">
        <v>294</v>
      </c>
      <c r="BG112" s="327" t="s">
        <v>294</v>
      </c>
      <c r="BH112" s="327" t="s">
        <v>294</v>
      </c>
      <c r="BI112" s="327" t="s">
        <v>294</v>
      </c>
      <c r="BJ112" s="62" t="s">
        <v>294</v>
      </c>
      <c r="BK112" s="327" t="s">
        <v>294</v>
      </c>
      <c r="BL112" s="327" t="s">
        <v>294</v>
      </c>
      <c r="BM112" s="327" t="s">
        <v>294</v>
      </c>
      <c r="BN112" s="62" t="s">
        <v>294</v>
      </c>
      <c r="BO112" s="62" t="s">
        <v>294</v>
      </c>
      <c r="BP112" s="62" t="s">
        <v>294</v>
      </c>
      <c r="BQ112" s="62" t="s">
        <v>294</v>
      </c>
      <c r="BR112" s="327" t="s">
        <v>294</v>
      </c>
      <c r="BS112" s="327" t="s">
        <v>294</v>
      </c>
      <c r="BT112" s="327" t="s">
        <v>294</v>
      </c>
      <c r="BU112" s="327" t="s">
        <v>294</v>
      </c>
      <c r="BV112" s="327" t="s">
        <v>294</v>
      </c>
      <c r="BW112" s="62" t="s">
        <v>294</v>
      </c>
      <c r="BX112" s="62" t="s">
        <v>294</v>
      </c>
      <c r="BY112" s="62" t="s">
        <v>294</v>
      </c>
      <c r="BZ112" s="62" t="s">
        <v>294</v>
      </c>
      <c r="CA112" s="62">
        <v>22</v>
      </c>
      <c r="CB112" s="62">
        <v>0.22</v>
      </c>
      <c r="CC112" s="62" t="s">
        <v>294</v>
      </c>
      <c r="CD112" s="62">
        <v>3.3000000000000002E-2</v>
      </c>
      <c r="CE112" s="62">
        <v>0.24</v>
      </c>
      <c r="CF112" s="62">
        <v>6.2</v>
      </c>
      <c r="CG112" s="62" t="s">
        <v>294</v>
      </c>
      <c r="CH112" s="62" t="s">
        <v>294</v>
      </c>
      <c r="CI112" s="62">
        <v>540</v>
      </c>
      <c r="CJ112" s="62">
        <v>0.2</v>
      </c>
      <c r="CK112" s="62" t="s">
        <v>294</v>
      </c>
      <c r="CL112" s="62">
        <v>250</v>
      </c>
      <c r="CM112" s="62" t="s">
        <v>294</v>
      </c>
      <c r="CN112" s="62" t="s">
        <v>288</v>
      </c>
      <c r="CO112" s="62">
        <v>5.7</v>
      </c>
      <c r="CP112" s="62">
        <v>0.96</v>
      </c>
      <c r="CQ112" s="62" t="s">
        <v>254</v>
      </c>
      <c r="CR112" s="62" t="s">
        <v>254</v>
      </c>
      <c r="CS112" s="62" t="s">
        <v>294</v>
      </c>
      <c r="CT112" s="62">
        <v>26</v>
      </c>
      <c r="CU112" s="62" t="s">
        <v>294</v>
      </c>
      <c r="CV112" s="62" t="s">
        <v>294</v>
      </c>
      <c r="CW112" s="62" t="s">
        <v>294</v>
      </c>
      <c r="CX112" s="62" t="s">
        <v>294</v>
      </c>
      <c r="CY112" s="62" t="s">
        <v>294</v>
      </c>
      <c r="CZ112" s="62" t="s">
        <v>294</v>
      </c>
      <c r="DA112" s="62" t="s">
        <v>294</v>
      </c>
      <c r="DB112" s="62" t="s">
        <v>294</v>
      </c>
      <c r="DC112" s="62" t="s">
        <v>294</v>
      </c>
      <c r="DD112" s="62" t="s">
        <v>294</v>
      </c>
      <c r="DE112" s="62" t="s">
        <v>294</v>
      </c>
      <c r="DF112" s="62" t="s">
        <v>294</v>
      </c>
      <c r="DG112" s="62" t="s">
        <v>294</v>
      </c>
      <c r="DH112" s="62" t="s">
        <v>294</v>
      </c>
      <c r="DI112" s="62" t="s">
        <v>294</v>
      </c>
      <c r="DJ112" s="62" t="s">
        <v>294</v>
      </c>
      <c r="DK112" s="62" t="s">
        <v>294</v>
      </c>
      <c r="DL112" s="62" t="s">
        <v>294</v>
      </c>
      <c r="DM112" s="62" t="s">
        <v>294</v>
      </c>
      <c r="DN112" s="328" t="s">
        <v>294</v>
      </c>
      <c r="DO112" s="328" t="s">
        <v>294</v>
      </c>
      <c r="DP112" s="328" t="s">
        <v>294</v>
      </c>
      <c r="DQ112" s="328" t="s">
        <v>294</v>
      </c>
    </row>
    <row r="113" spans="1:121" x14ac:dyDescent="0.25">
      <c r="A113" s="62" t="s">
        <v>338</v>
      </c>
      <c r="B113" s="56" t="str">
        <f>VLOOKUP(Table3[[#This Row],[Station]], StationName, 2, FALSE)</f>
        <v>K01-12177-1 (K01P07)</v>
      </c>
      <c r="C113" s="362">
        <v>1911001</v>
      </c>
      <c r="D113" s="325">
        <v>44439.415277777778</v>
      </c>
      <c r="E113" s="326" t="s">
        <v>283</v>
      </c>
      <c r="F113" s="327">
        <v>93</v>
      </c>
      <c r="G113" s="327">
        <v>106</v>
      </c>
      <c r="H113" s="327">
        <v>64</v>
      </c>
      <c r="I113" s="327">
        <v>82</v>
      </c>
      <c r="J113" s="327">
        <v>79</v>
      </c>
      <c r="K113" s="327">
        <v>68</v>
      </c>
      <c r="L113" s="327">
        <v>83</v>
      </c>
      <c r="M113" s="327">
        <v>94</v>
      </c>
      <c r="N113" s="327">
        <v>51</v>
      </c>
      <c r="O113" s="327" t="s">
        <v>259</v>
      </c>
      <c r="P113" s="62" t="s">
        <v>259</v>
      </c>
      <c r="Q113" s="62" t="s">
        <v>259</v>
      </c>
      <c r="R113" s="62" t="s">
        <v>259</v>
      </c>
      <c r="S113" s="327" t="s">
        <v>259</v>
      </c>
      <c r="T113" s="327" t="s">
        <v>259</v>
      </c>
      <c r="U113" s="327">
        <v>1.97</v>
      </c>
      <c r="V113" s="327" t="s">
        <v>256</v>
      </c>
      <c r="W113" s="327" t="s">
        <v>256</v>
      </c>
      <c r="X113" s="327" t="s">
        <v>256</v>
      </c>
      <c r="Y113" s="327" t="s">
        <v>284</v>
      </c>
      <c r="Z113" s="327">
        <v>1.78</v>
      </c>
      <c r="AA113" s="327" t="s">
        <v>256</v>
      </c>
      <c r="AB113" s="327" t="s">
        <v>256</v>
      </c>
      <c r="AC113" s="327" t="s">
        <v>256</v>
      </c>
      <c r="AD113" s="327" t="s">
        <v>256</v>
      </c>
      <c r="AE113" s="327" t="s">
        <v>256</v>
      </c>
      <c r="AF113" s="62" t="s">
        <v>256</v>
      </c>
      <c r="AG113" s="62" t="s">
        <v>256</v>
      </c>
      <c r="AH113" s="62" t="s">
        <v>256</v>
      </c>
      <c r="AI113" s="327" t="s">
        <v>256</v>
      </c>
      <c r="AJ113" s="327" t="s">
        <v>248</v>
      </c>
      <c r="AK113" s="327" t="s">
        <v>259</v>
      </c>
      <c r="AL113" s="327" t="s">
        <v>259</v>
      </c>
      <c r="AM113" s="327" t="s">
        <v>251</v>
      </c>
      <c r="AN113" s="327" t="s">
        <v>256</v>
      </c>
      <c r="AO113" s="327" t="s">
        <v>259</v>
      </c>
      <c r="AP113" s="62" t="s">
        <v>251</v>
      </c>
      <c r="AQ113" s="62" t="s">
        <v>256</v>
      </c>
      <c r="AR113" s="62" t="s">
        <v>256</v>
      </c>
      <c r="AS113" s="62" t="s">
        <v>285</v>
      </c>
      <c r="AT113" s="62" t="s">
        <v>259</v>
      </c>
      <c r="AU113" s="327" t="s">
        <v>284</v>
      </c>
      <c r="AV113" s="327" t="s">
        <v>259</v>
      </c>
      <c r="AW113" s="62" t="s">
        <v>256</v>
      </c>
      <c r="AX113" s="62" t="s">
        <v>256</v>
      </c>
      <c r="AY113" s="62" t="s">
        <v>256</v>
      </c>
      <c r="AZ113" s="62" t="s">
        <v>256</v>
      </c>
      <c r="BA113" s="62" t="s">
        <v>256</v>
      </c>
      <c r="BB113" s="62" t="s">
        <v>259</v>
      </c>
      <c r="BC113" s="62" t="s">
        <v>286</v>
      </c>
      <c r="BD113" s="62" t="s">
        <v>248</v>
      </c>
      <c r="BE113" s="62" t="s">
        <v>259</v>
      </c>
      <c r="BF113" s="62" t="s">
        <v>248</v>
      </c>
      <c r="BG113" s="327">
        <v>2.0099999999999998</v>
      </c>
      <c r="BH113" s="327" t="s">
        <v>256</v>
      </c>
      <c r="BI113" s="327" t="s">
        <v>256</v>
      </c>
      <c r="BJ113" s="62" t="s">
        <v>256</v>
      </c>
      <c r="BK113" s="327" t="s">
        <v>256</v>
      </c>
      <c r="BL113" s="327" t="s">
        <v>256</v>
      </c>
      <c r="BM113" s="327" t="s">
        <v>259</v>
      </c>
      <c r="BN113" s="62" t="s">
        <v>256</v>
      </c>
      <c r="BO113" s="62" t="s">
        <v>259</v>
      </c>
      <c r="BP113" s="62" t="s">
        <v>284</v>
      </c>
      <c r="BQ113" s="62" t="s">
        <v>256</v>
      </c>
      <c r="BR113" s="327">
        <v>5.14</v>
      </c>
      <c r="BS113" s="327">
        <v>1.36</v>
      </c>
      <c r="BT113" s="327" t="s">
        <v>284</v>
      </c>
      <c r="BU113" s="327">
        <v>2.38</v>
      </c>
      <c r="BV113" s="327" t="s">
        <v>248</v>
      </c>
      <c r="BW113" s="62" t="s">
        <v>285</v>
      </c>
      <c r="BX113" s="62" t="s">
        <v>287</v>
      </c>
      <c r="BY113" s="62" t="s">
        <v>259</v>
      </c>
      <c r="BZ113" s="62" t="s">
        <v>259</v>
      </c>
      <c r="CA113" s="62">
        <v>2</v>
      </c>
      <c r="CB113" s="62">
        <v>0.35</v>
      </c>
      <c r="CC113" s="62">
        <v>175</v>
      </c>
      <c r="CD113" s="62">
        <v>0.13</v>
      </c>
      <c r="CE113" s="62">
        <v>0.4</v>
      </c>
      <c r="CF113" s="62">
        <v>13</v>
      </c>
      <c r="CG113" s="62">
        <v>8.6</v>
      </c>
      <c r="CH113" s="62">
        <v>720</v>
      </c>
      <c r="CI113" s="62">
        <v>140</v>
      </c>
      <c r="CJ113" s="62" t="s">
        <v>254</v>
      </c>
      <c r="CK113" s="62">
        <v>68.7</v>
      </c>
      <c r="CL113" s="62">
        <v>39</v>
      </c>
      <c r="CM113" s="62">
        <v>5.2999999999999999E-2</v>
      </c>
      <c r="CN113" s="62" t="s">
        <v>288</v>
      </c>
      <c r="CO113" s="62">
        <v>7.1</v>
      </c>
      <c r="CP113" s="62">
        <v>4.0999999999999996</v>
      </c>
      <c r="CQ113" s="62" t="s">
        <v>254</v>
      </c>
      <c r="CR113" s="62" t="s">
        <v>254</v>
      </c>
      <c r="CS113" s="62">
        <v>7.2</v>
      </c>
      <c r="CT113" s="62">
        <v>11</v>
      </c>
      <c r="CU113" s="62">
        <v>0.15</v>
      </c>
      <c r="CV113" s="62">
        <v>310</v>
      </c>
      <c r="CW113" s="62">
        <v>5.3</v>
      </c>
      <c r="CX113" s="62">
        <v>1.1000000000000001</v>
      </c>
      <c r="CY113" s="62">
        <v>0.37</v>
      </c>
      <c r="CZ113" s="62">
        <v>7.75</v>
      </c>
      <c r="DA113" s="62">
        <v>1.2</v>
      </c>
      <c r="DB113" s="62">
        <v>2900</v>
      </c>
      <c r="DC113" s="62">
        <v>690</v>
      </c>
      <c r="DD113" s="62">
        <v>16.399999999999999</v>
      </c>
      <c r="DE113" s="62">
        <v>1700</v>
      </c>
      <c r="DF113" s="62" t="s">
        <v>399</v>
      </c>
      <c r="DG113" s="62">
        <v>2.6</v>
      </c>
      <c r="DH113" s="62">
        <v>2.2999999999999998</v>
      </c>
      <c r="DI113" s="62">
        <v>2900</v>
      </c>
      <c r="DJ113" s="62">
        <v>21000</v>
      </c>
      <c r="DK113" s="62">
        <v>30000</v>
      </c>
      <c r="DL113" s="62" t="s">
        <v>359</v>
      </c>
      <c r="DM113" s="62">
        <v>8.52</v>
      </c>
      <c r="DN113" s="328">
        <v>7.67</v>
      </c>
      <c r="DO113" s="328">
        <v>2840</v>
      </c>
      <c r="DP113" s="328">
        <v>21.46</v>
      </c>
      <c r="DQ113" s="328">
        <v>0.9</v>
      </c>
    </row>
    <row r="114" spans="1:121" x14ac:dyDescent="0.25">
      <c r="A114" s="62" t="s">
        <v>335</v>
      </c>
      <c r="B114" s="56" t="str">
        <f>VLOOKUP(Table3[[#This Row],[Station]], StationName, 2, FALSE)</f>
        <v>K01-12156-4 (SCNK01)</v>
      </c>
      <c r="C114" s="362">
        <v>1911002</v>
      </c>
      <c r="D114" s="325">
        <v>44439.448611111111</v>
      </c>
      <c r="E114" s="326" t="s">
        <v>283</v>
      </c>
      <c r="F114" s="327">
        <v>93</v>
      </c>
      <c r="G114" s="327">
        <v>106</v>
      </c>
      <c r="H114" s="327">
        <v>64</v>
      </c>
      <c r="I114" s="327">
        <v>82</v>
      </c>
      <c r="J114" s="327">
        <v>78</v>
      </c>
      <c r="K114" s="327">
        <v>68</v>
      </c>
      <c r="L114" s="327">
        <v>82</v>
      </c>
      <c r="M114" s="327">
        <v>92</v>
      </c>
      <c r="N114" s="327">
        <v>53</v>
      </c>
      <c r="O114" s="327" t="s">
        <v>259</v>
      </c>
      <c r="P114" s="62" t="s">
        <v>259</v>
      </c>
      <c r="Q114" s="62" t="s">
        <v>259</v>
      </c>
      <c r="R114" s="62" t="s">
        <v>259</v>
      </c>
      <c r="S114" s="327" t="s">
        <v>259</v>
      </c>
      <c r="T114" s="327" t="s">
        <v>259</v>
      </c>
      <c r="U114" s="327">
        <v>2.56</v>
      </c>
      <c r="V114" s="327" t="s">
        <v>256</v>
      </c>
      <c r="W114" s="327" t="s">
        <v>256</v>
      </c>
      <c r="X114" s="327" t="s">
        <v>256</v>
      </c>
      <c r="Y114" s="327" t="s">
        <v>284</v>
      </c>
      <c r="Z114" s="327">
        <v>1.63</v>
      </c>
      <c r="AA114" s="327" t="s">
        <v>256</v>
      </c>
      <c r="AB114" s="327" t="s">
        <v>256</v>
      </c>
      <c r="AC114" s="327" t="s">
        <v>256</v>
      </c>
      <c r="AD114" s="327" t="s">
        <v>256</v>
      </c>
      <c r="AE114" s="327" t="s">
        <v>256</v>
      </c>
      <c r="AF114" s="62" t="s">
        <v>256</v>
      </c>
      <c r="AG114" s="62" t="s">
        <v>256</v>
      </c>
      <c r="AH114" s="62" t="s">
        <v>256</v>
      </c>
      <c r="AI114" s="327" t="s">
        <v>256</v>
      </c>
      <c r="AJ114" s="327" t="s">
        <v>248</v>
      </c>
      <c r="AK114" s="327" t="s">
        <v>259</v>
      </c>
      <c r="AL114" s="327" t="s">
        <v>259</v>
      </c>
      <c r="AM114" s="327" t="s">
        <v>251</v>
      </c>
      <c r="AN114" s="327" t="s">
        <v>256</v>
      </c>
      <c r="AO114" s="327" t="s">
        <v>259</v>
      </c>
      <c r="AP114" s="62" t="s">
        <v>251</v>
      </c>
      <c r="AQ114" s="62" t="s">
        <v>256</v>
      </c>
      <c r="AR114" s="62" t="s">
        <v>256</v>
      </c>
      <c r="AS114" s="62" t="s">
        <v>285</v>
      </c>
      <c r="AT114" s="62" t="s">
        <v>259</v>
      </c>
      <c r="AU114" s="327" t="s">
        <v>284</v>
      </c>
      <c r="AV114" s="327" t="s">
        <v>259</v>
      </c>
      <c r="AW114" s="62" t="s">
        <v>256</v>
      </c>
      <c r="AX114" s="62" t="s">
        <v>256</v>
      </c>
      <c r="AY114" s="62" t="s">
        <v>256</v>
      </c>
      <c r="AZ114" s="62" t="s">
        <v>256</v>
      </c>
      <c r="BA114" s="62" t="s">
        <v>256</v>
      </c>
      <c r="BB114" s="62" t="s">
        <v>259</v>
      </c>
      <c r="BC114" s="62" t="s">
        <v>286</v>
      </c>
      <c r="BD114" s="62" t="s">
        <v>248</v>
      </c>
      <c r="BE114" s="62" t="s">
        <v>259</v>
      </c>
      <c r="BF114" s="62" t="s">
        <v>248</v>
      </c>
      <c r="BG114" s="327">
        <v>2.08</v>
      </c>
      <c r="BH114" s="327" t="s">
        <v>256</v>
      </c>
      <c r="BI114" s="327" t="s">
        <v>256</v>
      </c>
      <c r="BJ114" s="62" t="s">
        <v>256</v>
      </c>
      <c r="BK114" s="327" t="s">
        <v>256</v>
      </c>
      <c r="BL114" s="327" t="s">
        <v>256</v>
      </c>
      <c r="BM114" s="327" t="s">
        <v>259</v>
      </c>
      <c r="BN114" s="62" t="s">
        <v>256</v>
      </c>
      <c r="BO114" s="62" t="s">
        <v>259</v>
      </c>
      <c r="BP114" s="62" t="s">
        <v>284</v>
      </c>
      <c r="BQ114" s="62" t="s">
        <v>256</v>
      </c>
      <c r="BR114" s="327">
        <v>8.24</v>
      </c>
      <c r="BS114" s="327" t="s">
        <v>256</v>
      </c>
      <c r="BT114" s="327" t="s">
        <v>284</v>
      </c>
      <c r="BU114" s="327">
        <v>1.89</v>
      </c>
      <c r="BV114" s="327" t="s">
        <v>248</v>
      </c>
      <c r="BW114" s="62" t="s">
        <v>285</v>
      </c>
      <c r="BX114" s="62" t="s">
        <v>287</v>
      </c>
      <c r="BY114" s="62" t="s">
        <v>259</v>
      </c>
      <c r="BZ114" s="62" t="s">
        <v>259</v>
      </c>
      <c r="CA114" s="62">
        <v>1.8</v>
      </c>
      <c r="CB114" s="62">
        <v>0.34</v>
      </c>
      <c r="CC114" s="62">
        <v>306</v>
      </c>
      <c r="CD114" s="62" t="s">
        <v>230</v>
      </c>
      <c r="CE114" s="62">
        <v>0.24</v>
      </c>
      <c r="CF114" s="62">
        <v>4.8</v>
      </c>
      <c r="CG114" s="62">
        <v>10</v>
      </c>
      <c r="CH114" s="62">
        <v>1330</v>
      </c>
      <c r="CI114" s="62">
        <v>150</v>
      </c>
      <c r="CJ114" s="62" t="s">
        <v>254</v>
      </c>
      <c r="CK114" s="62">
        <v>137</v>
      </c>
      <c r="CL114" s="62">
        <v>42</v>
      </c>
      <c r="CM114" s="62">
        <v>6.3E-2</v>
      </c>
      <c r="CN114" s="62" t="s">
        <v>288</v>
      </c>
      <c r="CO114" s="62">
        <v>7</v>
      </c>
      <c r="CP114" s="62">
        <v>7.6</v>
      </c>
      <c r="CQ114" s="62" t="s">
        <v>254</v>
      </c>
      <c r="CR114" s="62" t="s">
        <v>254</v>
      </c>
      <c r="CS114" s="62">
        <v>9.5</v>
      </c>
      <c r="CT114" s="62" t="s">
        <v>284</v>
      </c>
      <c r="CU114" s="62">
        <v>0.55000000000000004</v>
      </c>
      <c r="CV114" s="62">
        <v>650</v>
      </c>
      <c r="CW114" s="62">
        <v>5.0999999999999996</v>
      </c>
      <c r="CX114" s="62">
        <v>1.7</v>
      </c>
      <c r="CY114" s="62">
        <v>0.35</v>
      </c>
      <c r="CZ114" s="62">
        <v>7.37</v>
      </c>
      <c r="DA114" s="62">
        <v>1.2</v>
      </c>
      <c r="DB114" s="62">
        <v>4900</v>
      </c>
      <c r="DC114" s="62">
        <v>1300</v>
      </c>
      <c r="DD114" s="62">
        <v>15.6</v>
      </c>
      <c r="DE114" s="62">
        <v>3000</v>
      </c>
      <c r="DF114" s="62" t="s">
        <v>289</v>
      </c>
      <c r="DG114" s="62">
        <v>2.1</v>
      </c>
      <c r="DH114" s="62">
        <v>1.8</v>
      </c>
      <c r="DI114" s="62">
        <v>1170</v>
      </c>
      <c r="DJ114" s="62">
        <v>380</v>
      </c>
      <c r="DK114" s="62">
        <v>580</v>
      </c>
      <c r="DL114" s="62" t="s">
        <v>400</v>
      </c>
      <c r="DM114" s="62">
        <v>5.27</v>
      </c>
      <c r="DN114" s="328">
        <v>7.27</v>
      </c>
      <c r="DO114" s="328">
        <v>4319</v>
      </c>
      <c r="DP114" s="328">
        <v>20.8</v>
      </c>
      <c r="DQ114" s="328">
        <v>2.9</v>
      </c>
    </row>
    <row r="115" spans="1:121" hidden="1" x14ac:dyDescent="0.25">
      <c r="A115" s="62" t="s">
        <v>335</v>
      </c>
      <c r="B115" s="56" t="str">
        <f>VLOOKUP(Table3[[#This Row],[Station]], StationName, 2, FALSE)</f>
        <v>K01-12156-4 (SCNK01)</v>
      </c>
      <c r="C115" s="362">
        <v>1911004</v>
      </c>
      <c r="D115" s="325">
        <v>44439.448611111111</v>
      </c>
      <c r="E115" s="326" t="s">
        <v>293</v>
      </c>
      <c r="F115" s="327" t="s">
        <v>294</v>
      </c>
      <c r="G115" s="327" t="s">
        <v>294</v>
      </c>
      <c r="H115" s="327" t="s">
        <v>294</v>
      </c>
      <c r="I115" s="327" t="s">
        <v>294</v>
      </c>
      <c r="J115" s="327" t="s">
        <v>294</v>
      </c>
      <c r="K115" s="327" t="s">
        <v>294</v>
      </c>
      <c r="L115" s="327" t="s">
        <v>294</v>
      </c>
      <c r="M115" s="327" t="s">
        <v>294</v>
      </c>
      <c r="N115" s="327" t="s">
        <v>294</v>
      </c>
      <c r="O115" s="327" t="s">
        <v>294</v>
      </c>
      <c r="P115" s="62" t="s">
        <v>294</v>
      </c>
      <c r="Q115" s="62" t="s">
        <v>294</v>
      </c>
      <c r="R115" s="62" t="s">
        <v>294</v>
      </c>
      <c r="S115" s="327" t="s">
        <v>294</v>
      </c>
      <c r="T115" s="327" t="s">
        <v>294</v>
      </c>
      <c r="U115" s="327" t="s">
        <v>294</v>
      </c>
      <c r="V115" s="327" t="s">
        <v>294</v>
      </c>
      <c r="W115" s="327" t="s">
        <v>294</v>
      </c>
      <c r="X115" s="327" t="s">
        <v>294</v>
      </c>
      <c r="Y115" s="327" t="s">
        <v>294</v>
      </c>
      <c r="Z115" s="327" t="s">
        <v>294</v>
      </c>
      <c r="AA115" s="327" t="s">
        <v>294</v>
      </c>
      <c r="AB115" s="327" t="s">
        <v>294</v>
      </c>
      <c r="AC115" s="327" t="s">
        <v>294</v>
      </c>
      <c r="AD115" s="327" t="s">
        <v>294</v>
      </c>
      <c r="AE115" s="327" t="s">
        <v>294</v>
      </c>
      <c r="AF115" s="62" t="s">
        <v>294</v>
      </c>
      <c r="AG115" s="62" t="s">
        <v>294</v>
      </c>
      <c r="AH115" s="62" t="s">
        <v>294</v>
      </c>
      <c r="AI115" s="327" t="s">
        <v>294</v>
      </c>
      <c r="AJ115" s="327" t="s">
        <v>294</v>
      </c>
      <c r="AK115" s="327" t="s">
        <v>294</v>
      </c>
      <c r="AL115" s="327" t="s">
        <v>294</v>
      </c>
      <c r="AM115" s="327" t="s">
        <v>294</v>
      </c>
      <c r="AN115" s="327" t="s">
        <v>294</v>
      </c>
      <c r="AO115" s="327" t="s">
        <v>294</v>
      </c>
      <c r="AP115" s="62" t="s">
        <v>294</v>
      </c>
      <c r="AQ115" s="62" t="s">
        <v>294</v>
      </c>
      <c r="AR115" s="62" t="s">
        <v>294</v>
      </c>
      <c r="AS115" s="62" t="s">
        <v>294</v>
      </c>
      <c r="AT115" s="62" t="s">
        <v>294</v>
      </c>
      <c r="AU115" s="327" t="s">
        <v>294</v>
      </c>
      <c r="AV115" s="327" t="s">
        <v>294</v>
      </c>
      <c r="AW115" s="62" t="s">
        <v>294</v>
      </c>
      <c r="AX115" s="62" t="s">
        <v>294</v>
      </c>
      <c r="AY115" s="62" t="s">
        <v>294</v>
      </c>
      <c r="AZ115" s="62" t="s">
        <v>294</v>
      </c>
      <c r="BA115" s="62" t="s">
        <v>294</v>
      </c>
      <c r="BB115" s="62" t="s">
        <v>294</v>
      </c>
      <c r="BC115" s="62" t="s">
        <v>294</v>
      </c>
      <c r="BD115" s="62" t="s">
        <v>294</v>
      </c>
      <c r="BE115" s="62" t="s">
        <v>294</v>
      </c>
      <c r="BF115" s="62" t="s">
        <v>294</v>
      </c>
      <c r="BG115" s="327" t="s">
        <v>294</v>
      </c>
      <c r="BH115" s="327" t="s">
        <v>294</v>
      </c>
      <c r="BI115" s="327" t="s">
        <v>294</v>
      </c>
      <c r="BJ115" s="62" t="s">
        <v>294</v>
      </c>
      <c r="BK115" s="327" t="s">
        <v>294</v>
      </c>
      <c r="BL115" s="327" t="s">
        <v>294</v>
      </c>
      <c r="BM115" s="327" t="s">
        <v>294</v>
      </c>
      <c r="BN115" s="62" t="s">
        <v>294</v>
      </c>
      <c r="BO115" s="62" t="s">
        <v>294</v>
      </c>
      <c r="BP115" s="62" t="s">
        <v>294</v>
      </c>
      <c r="BQ115" s="62" t="s">
        <v>294</v>
      </c>
      <c r="BR115" s="327" t="s">
        <v>294</v>
      </c>
      <c r="BS115" s="327" t="s">
        <v>294</v>
      </c>
      <c r="BT115" s="327" t="s">
        <v>294</v>
      </c>
      <c r="BU115" s="327" t="s">
        <v>294</v>
      </c>
      <c r="BV115" s="327" t="s">
        <v>294</v>
      </c>
      <c r="BW115" s="62" t="s">
        <v>294</v>
      </c>
      <c r="BX115" s="62" t="s">
        <v>294</v>
      </c>
      <c r="BY115" s="62" t="s">
        <v>294</v>
      </c>
      <c r="BZ115" s="62" t="s">
        <v>294</v>
      </c>
      <c r="CA115" s="62">
        <v>1.7</v>
      </c>
      <c r="CB115" s="62">
        <v>0.31</v>
      </c>
      <c r="CC115" s="62" t="s">
        <v>294</v>
      </c>
      <c r="CD115" s="62" t="s">
        <v>230</v>
      </c>
      <c r="CE115" s="62" t="s">
        <v>254</v>
      </c>
      <c r="CF115" s="62">
        <v>3.6</v>
      </c>
      <c r="CG115" s="62" t="s">
        <v>294</v>
      </c>
      <c r="CH115" s="62" t="s">
        <v>294</v>
      </c>
      <c r="CI115" s="62">
        <v>43</v>
      </c>
      <c r="CJ115" s="62" t="s">
        <v>254</v>
      </c>
      <c r="CK115" s="62" t="s">
        <v>294</v>
      </c>
      <c r="CL115" s="62">
        <v>29</v>
      </c>
      <c r="CM115" s="62" t="s">
        <v>294</v>
      </c>
      <c r="CN115" s="62" t="s">
        <v>288</v>
      </c>
      <c r="CO115" s="62">
        <v>6.9</v>
      </c>
      <c r="CP115" s="62">
        <v>7.5</v>
      </c>
      <c r="CQ115" s="62" t="s">
        <v>254</v>
      </c>
      <c r="CR115" s="62" t="s">
        <v>254</v>
      </c>
      <c r="CS115" s="62" t="s">
        <v>294</v>
      </c>
      <c r="CT115" s="62" t="s">
        <v>284</v>
      </c>
      <c r="CU115" s="62" t="s">
        <v>294</v>
      </c>
      <c r="CV115" s="62" t="s">
        <v>294</v>
      </c>
      <c r="CW115" s="62" t="s">
        <v>294</v>
      </c>
      <c r="CX115" s="62" t="s">
        <v>294</v>
      </c>
      <c r="CY115" s="62" t="s">
        <v>294</v>
      </c>
      <c r="CZ115" s="62" t="s">
        <v>294</v>
      </c>
      <c r="DA115" s="62" t="s">
        <v>294</v>
      </c>
      <c r="DB115" s="62" t="s">
        <v>294</v>
      </c>
      <c r="DC115" s="62" t="s">
        <v>294</v>
      </c>
      <c r="DD115" s="62" t="s">
        <v>294</v>
      </c>
      <c r="DE115" s="62" t="s">
        <v>294</v>
      </c>
      <c r="DF115" s="62" t="s">
        <v>294</v>
      </c>
      <c r="DG115" s="62" t="s">
        <v>294</v>
      </c>
      <c r="DH115" s="62" t="s">
        <v>294</v>
      </c>
      <c r="DI115" s="62" t="s">
        <v>294</v>
      </c>
      <c r="DJ115" s="62" t="s">
        <v>294</v>
      </c>
      <c r="DK115" s="62" t="s">
        <v>294</v>
      </c>
      <c r="DL115" s="62" t="s">
        <v>294</v>
      </c>
      <c r="DM115" s="62" t="s">
        <v>294</v>
      </c>
      <c r="DN115" s="328" t="s">
        <v>294</v>
      </c>
      <c r="DO115" s="328" t="s">
        <v>294</v>
      </c>
      <c r="DP115" s="328" t="s">
        <v>294</v>
      </c>
      <c r="DQ115" s="328" t="s">
        <v>294</v>
      </c>
    </row>
    <row r="116" spans="1:121" x14ac:dyDescent="0.25">
      <c r="A116" s="62" t="s">
        <v>361</v>
      </c>
      <c r="B116" s="56" t="str">
        <f>VLOOKUP(Table3[[#This Row],[Station]], StationName, 2, FALSE)</f>
        <v>L01-728-5 (L01-DP)</v>
      </c>
      <c r="C116" s="362">
        <v>1913002</v>
      </c>
      <c r="D116" s="325">
        <v>44440.357638888891</v>
      </c>
      <c r="E116" s="326" t="s">
        <v>283</v>
      </c>
      <c r="F116" s="327">
        <v>62</v>
      </c>
      <c r="G116" s="327">
        <v>89</v>
      </c>
      <c r="H116" s="327">
        <v>79</v>
      </c>
      <c r="I116" s="327">
        <v>68</v>
      </c>
      <c r="J116" s="327">
        <v>44</v>
      </c>
      <c r="K116" s="327">
        <v>49</v>
      </c>
      <c r="L116" s="327">
        <v>69</v>
      </c>
      <c r="M116" s="327">
        <v>69</v>
      </c>
      <c r="N116" s="327">
        <v>55</v>
      </c>
      <c r="O116" s="327" t="s">
        <v>259</v>
      </c>
      <c r="P116" s="62" t="s">
        <v>259</v>
      </c>
      <c r="Q116" s="62" t="s">
        <v>259</v>
      </c>
      <c r="R116" s="62" t="s">
        <v>259</v>
      </c>
      <c r="S116" s="327" t="s">
        <v>259</v>
      </c>
      <c r="T116" s="327" t="s">
        <v>259</v>
      </c>
      <c r="U116" s="327">
        <v>1.82</v>
      </c>
      <c r="V116" s="327" t="s">
        <v>256</v>
      </c>
      <c r="W116" s="327" t="s">
        <v>256</v>
      </c>
      <c r="X116" s="327" t="s">
        <v>256</v>
      </c>
      <c r="Y116" s="327" t="s">
        <v>284</v>
      </c>
      <c r="Z116" s="327">
        <v>1.67</v>
      </c>
      <c r="AA116" s="327" t="s">
        <v>256</v>
      </c>
      <c r="AB116" s="327">
        <v>5.31</v>
      </c>
      <c r="AC116" s="327">
        <v>2.92</v>
      </c>
      <c r="AD116" s="327" t="s">
        <v>256</v>
      </c>
      <c r="AE116" s="327" t="s">
        <v>256</v>
      </c>
      <c r="AF116" s="62" t="s">
        <v>256</v>
      </c>
      <c r="AG116" s="62" t="s">
        <v>256</v>
      </c>
      <c r="AH116" s="62" t="s">
        <v>256</v>
      </c>
      <c r="AI116" s="327">
        <v>1.8</v>
      </c>
      <c r="AJ116" s="327" t="s">
        <v>248</v>
      </c>
      <c r="AK116" s="327" t="s">
        <v>259</v>
      </c>
      <c r="AL116" s="327" t="s">
        <v>259</v>
      </c>
      <c r="AM116" s="327" t="s">
        <v>251</v>
      </c>
      <c r="AN116" s="327">
        <v>5.77</v>
      </c>
      <c r="AO116" s="327" t="s">
        <v>259</v>
      </c>
      <c r="AP116" s="62" t="s">
        <v>251</v>
      </c>
      <c r="AQ116" s="62" t="s">
        <v>256</v>
      </c>
      <c r="AR116" s="62" t="s">
        <v>256</v>
      </c>
      <c r="AS116" s="62" t="s">
        <v>285</v>
      </c>
      <c r="AT116" s="62" t="s">
        <v>259</v>
      </c>
      <c r="AU116" s="327" t="s">
        <v>284</v>
      </c>
      <c r="AV116" s="327" t="s">
        <v>259</v>
      </c>
      <c r="AW116" s="62" t="s">
        <v>256</v>
      </c>
      <c r="AX116" s="62" t="s">
        <v>256</v>
      </c>
      <c r="AY116" s="62" t="s">
        <v>256</v>
      </c>
      <c r="AZ116" s="62" t="s">
        <v>256</v>
      </c>
      <c r="BA116" s="62" t="s">
        <v>256</v>
      </c>
      <c r="BB116" s="62" t="s">
        <v>259</v>
      </c>
      <c r="BC116" s="62" t="s">
        <v>286</v>
      </c>
      <c r="BD116" s="62" t="s">
        <v>248</v>
      </c>
      <c r="BE116" s="62" t="s">
        <v>259</v>
      </c>
      <c r="BF116" s="62" t="s">
        <v>248</v>
      </c>
      <c r="BG116" s="327">
        <v>9.77</v>
      </c>
      <c r="BH116" s="327" t="s">
        <v>256</v>
      </c>
      <c r="BI116" s="327" t="s">
        <v>256</v>
      </c>
      <c r="BJ116" s="62" t="s">
        <v>256</v>
      </c>
      <c r="BK116" s="327" t="s">
        <v>256</v>
      </c>
      <c r="BL116" s="327" t="s">
        <v>256</v>
      </c>
      <c r="BM116" s="327" t="s">
        <v>259</v>
      </c>
      <c r="BN116" s="62" t="s">
        <v>256</v>
      </c>
      <c r="BO116" s="62" t="s">
        <v>259</v>
      </c>
      <c r="BP116" s="62" t="s">
        <v>284</v>
      </c>
      <c r="BQ116" s="62" t="s">
        <v>256</v>
      </c>
      <c r="BR116" s="327">
        <v>3.08</v>
      </c>
      <c r="BS116" s="327">
        <v>2.79</v>
      </c>
      <c r="BT116" s="327" t="s">
        <v>284</v>
      </c>
      <c r="BU116" s="327">
        <v>15.3</v>
      </c>
      <c r="BV116" s="327" t="s">
        <v>248</v>
      </c>
      <c r="BW116" s="62" t="s">
        <v>285</v>
      </c>
      <c r="BX116" s="62" t="s">
        <v>287</v>
      </c>
      <c r="BY116" s="62" t="s">
        <v>259</v>
      </c>
      <c r="BZ116" s="62" t="s">
        <v>259</v>
      </c>
      <c r="CA116" s="62">
        <v>3.4</v>
      </c>
      <c r="CB116" s="62">
        <v>0.25</v>
      </c>
      <c r="CC116" s="62">
        <v>86.2</v>
      </c>
      <c r="CD116" s="62">
        <v>3.4000000000000002E-2</v>
      </c>
      <c r="CE116" s="62">
        <v>1</v>
      </c>
      <c r="CF116" s="62">
        <v>31</v>
      </c>
      <c r="CG116" s="62">
        <v>11</v>
      </c>
      <c r="CH116" s="62">
        <v>333</v>
      </c>
      <c r="CI116" s="62">
        <v>740</v>
      </c>
      <c r="CJ116" s="62">
        <v>1.2</v>
      </c>
      <c r="CK116" s="62">
        <v>28.6</v>
      </c>
      <c r="CL116" s="62">
        <v>42</v>
      </c>
      <c r="CM116" s="62">
        <v>8.8999999999999996E-2</v>
      </c>
      <c r="CN116" s="62" t="s">
        <v>288</v>
      </c>
      <c r="CO116" s="62">
        <v>4.5</v>
      </c>
      <c r="CP116" s="62">
        <v>0.41</v>
      </c>
      <c r="CQ116" s="62" t="s">
        <v>254</v>
      </c>
      <c r="CR116" s="62" t="s">
        <v>254</v>
      </c>
      <c r="CS116" s="62">
        <v>12</v>
      </c>
      <c r="CT116" s="62">
        <v>110</v>
      </c>
      <c r="CU116" s="62" t="s">
        <v>153</v>
      </c>
      <c r="CV116" s="62">
        <v>200</v>
      </c>
      <c r="CW116" s="62">
        <v>0.69</v>
      </c>
      <c r="CX116" s="62">
        <v>2.1</v>
      </c>
      <c r="CY116" s="62">
        <v>0.4</v>
      </c>
      <c r="CZ116" s="62">
        <v>8.07</v>
      </c>
      <c r="DA116" s="62">
        <v>2.4</v>
      </c>
      <c r="DB116" s="62">
        <v>1500</v>
      </c>
      <c r="DC116" s="62">
        <v>230</v>
      </c>
      <c r="DD116" s="62">
        <v>20.9</v>
      </c>
      <c r="DE116" s="62">
        <v>740</v>
      </c>
      <c r="DF116" s="62">
        <v>10</v>
      </c>
      <c r="DG116" s="62">
        <v>17</v>
      </c>
      <c r="DH116" s="62">
        <v>6.9</v>
      </c>
      <c r="DI116" s="62">
        <v>30000</v>
      </c>
      <c r="DJ116" s="62">
        <v>10000</v>
      </c>
      <c r="DK116" s="62" t="s">
        <v>401</v>
      </c>
      <c r="DL116" s="62" t="s">
        <v>402</v>
      </c>
      <c r="DM116" s="62">
        <v>8.1300000000000008</v>
      </c>
      <c r="DN116" s="328">
        <v>8.75</v>
      </c>
      <c r="DO116" s="328">
        <v>1320</v>
      </c>
      <c r="DP116" s="328">
        <v>21.3</v>
      </c>
      <c r="DQ116" s="328">
        <v>8.23</v>
      </c>
    </row>
    <row r="117" spans="1:121" hidden="1" x14ac:dyDescent="0.25">
      <c r="A117" s="62" t="s">
        <v>361</v>
      </c>
      <c r="B117" s="56" t="str">
        <f>VLOOKUP(Table3[[#This Row],[Station]], StationName, 2, FALSE)</f>
        <v>L01-728-5 (L01-DP)</v>
      </c>
      <c r="C117" s="362">
        <v>1913004</v>
      </c>
      <c r="D117" s="325">
        <v>44440.357638888891</v>
      </c>
      <c r="E117" s="326" t="s">
        <v>293</v>
      </c>
      <c r="F117" s="327" t="s">
        <v>294</v>
      </c>
      <c r="G117" s="327" t="s">
        <v>294</v>
      </c>
      <c r="H117" s="327" t="s">
        <v>294</v>
      </c>
      <c r="I117" s="327" t="s">
        <v>294</v>
      </c>
      <c r="J117" s="327" t="s">
        <v>294</v>
      </c>
      <c r="K117" s="327" t="s">
        <v>294</v>
      </c>
      <c r="L117" s="327" t="s">
        <v>294</v>
      </c>
      <c r="M117" s="327" t="s">
        <v>294</v>
      </c>
      <c r="N117" s="327" t="s">
        <v>294</v>
      </c>
      <c r="O117" s="327" t="s">
        <v>294</v>
      </c>
      <c r="P117" s="62" t="s">
        <v>294</v>
      </c>
      <c r="Q117" s="62" t="s">
        <v>294</v>
      </c>
      <c r="R117" s="62" t="s">
        <v>294</v>
      </c>
      <c r="S117" s="327" t="s">
        <v>294</v>
      </c>
      <c r="T117" s="327" t="s">
        <v>294</v>
      </c>
      <c r="U117" s="327" t="s">
        <v>294</v>
      </c>
      <c r="V117" s="327" t="s">
        <v>294</v>
      </c>
      <c r="W117" s="327" t="s">
        <v>294</v>
      </c>
      <c r="X117" s="327" t="s">
        <v>294</v>
      </c>
      <c r="Y117" s="327" t="s">
        <v>294</v>
      </c>
      <c r="Z117" s="327" t="s">
        <v>294</v>
      </c>
      <c r="AA117" s="327" t="s">
        <v>294</v>
      </c>
      <c r="AB117" s="327" t="s">
        <v>294</v>
      </c>
      <c r="AC117" s="327" t="s">
        <v>294</v>
      </c>
      <c r="AD117" s="327" t="s">
        <v>294</v>
      </c>
      <c r="AE117" s="327" t="s">
        <v>294</v>
      </c>
      <c r="AF117" s="62" t="s">
        <v>294</v>
      </c>
      <c r="AG117" s="62" t="s">
        <v>294</v>
      </c>
      <c r="AH117" s="62" t="s">
        <v>294</v>
      </c>
      <c r="AI117" s="327" t="s">
        <v>294</v>
      </c>
      <c r="AJ117" s="327" t="s">
        <v>294</v>
      </c>
      <c r="AK117" s="327" t="s">
        <v>294</v>
      </c>
      <c r="AL117" s="327" t="s">
        <v>294</v>
      </c>
      <c r="AM117" s="327" t="s">
        <v>294</v>
      </c>
      <c r="AN117" s="327" t="s">
        <v>294</v>
      </c>
      <c r="AO117" s="327" t="s">
        <v>294</v>
      </c>
      <c r="AP117" s="62" t="s">
        <v>294</v>
      </c>
      <c r="AQ117" s="62" t="s">
        <v>294</v>
      </c>
      <c r="AR117" s="62" t="s">
        <v>294</v>
      </c>
      <c r="AS117" s="62" t="s">
        <v>294</v>
      </c>
      <c r="AT117" s="62" t="s">
        <v>294</v>
      </c>
      <c r="AU117" s="327" t="s">
        <v>294</v>
      </c>
      <c r="AV117" s="327" t="s">
        <v>294</v>
      </c>
      <c r="AW117" s="62" t="s">
        <v>294</v>
      </c>
      <c r="AX117" s="62" t="s">
        <v>294</v>
      </c>
      <c r="AY117" s="62" t="s">
        <v>294</v>
      </c>
      <c r="AZ117" s="62" t="s">
        <v>294</v>
      </c>
      <c r="BA117" s="62" t="s">
        <v>294</v>
      </c>
      <c r="BB117" s="62" t="s">
        <v>294</v>
      </c>
      <c r="BC117" s="62" t="s">
        <v>294</v>
      </c>
      <c r="BD117" s="62" t="s">
        <v>294</v>
      </c>
      <c r="BE117" s="62" t="s">
        <v>294</v>
      </c>
      <c r="BF117" s="62" t="s">
        <v>294</v>
      </c>
      <c r="BG117" s="327" t="s">
        <v>294</v>
      </c>
      <c r="BH117" s="327" t="s">
        <v>294</v>
      </c>
      <c r="BI117" s="327" t="s">
        <v>294</v>
      </c>
      <c r="BJ117" s="62" t="s">
        <v>294</v>
      </c>
      <c r="BK117" s="327" t="s">
        <v>294</v>
      </c>
      <c r="BL117" s="327" t="s">
        <v>294</v>
      </c>
      <c r="BM117" s="327" t="s">
        <v>294</v>
      </c>
      <c r="BN117" s="62" t="s">
        <v>294</v>
      </c>
      <c r="BO117" s="62" t="s">
        <v>294</v>
      </c>
      <c r="BP117" s="62" t="s">
        <v>294</v>
      </c>
      <c r="BQ117" s="62" t="s">
        <v>294</v>
      </c>
      <c r="BR117" s="327" t="s">
        <v>294</v>
      </c>
      <c r="BS117" s="327" t="s">
        <v>294</v>
      </c>
      <c r="BT117" s="327" t="s">
        <v>294</v>
      </c>
      <c r="BU117" s="327" t="s">
        <v>294</v>
      </c>
      <c r="BV117" s="327" t="s">
        <v>294</v>
      </c>
      <c r="BW117" s="62" t="s">
        <v>294</v>
      </c>
      <c r="BX117" s="62" t="s">
        <v>294</v>
      </c>
      <c r="BY117" s="62" t="s">
        <v>294</v>
      </c>
      <c r="BZ117" s="62" t="s">
        <v>294</v>
      </c>
      <c r="CA117" s="62">
        <v>2.6</v>
      </c>
      <c r="CB117" s="62" t="s">
        <v>254</v>
      </c>
      <c r="CC117" s="62" t="s">
        <v>294</v>
      </c>
      <c r="CD117" s="62">
        <v>4.3999999999999997E-2</v>
      </c>
      <c r="CE117" s="62">
        <v>0.35</v>
      </c>
      <c r="CF117" s="62">
        <v>4.9000000000000004</v>
      </c>
      <c r="CG117" s="62" t="s">
        <v>294</v>
      </c>
      <c r="CH117" s="62" t="s">
        <v>294</v>
      </c>
      <c r="CI117" s="62">
        <v>110</v>
      </c>
      <c r="CJ117" s="62" t="s">
        <v>254</v>
      </c>
      <c r="CK117" s="62" t="s">
        <v>294</v>
      </c>
      <c r="CL117" s="62">
        <v>20</v>
      </c>
      <c r="CM117" s="62" t="s">
        <v>294</v>
      </c>
      <c r="CN117" s="62" t="s">
        <v>288</v>
      </c>
      <c r="CO117" s="62">
        <v>3.4</v>
      </c>
      <c r="CP117" s="62" t="s">
        <v>258</v>
      </c>
      <c r="CQ117" s="62" t="s">
        <v>254</v>
      </c>
      <c r="CR117" s="62" t="s">
        <v>254</v>
      </c>
      <c r="CS117" s="62" t="s">
        <v>294</v>
      </c>
      <c r="CT117" s="62">
        <v>23</v>
      </c>
      <c r="CU117" s="62" t="s">
        <v>294</v>
      </c>
      <c r="CV117" s="62" t="s">
        <v>294</v>
      </c>
      <c r="CW117" s="62" t="s">
        <v>294</v>
      </c>
      <c r="CX117" s="62" t="s">
        <v>294</v>
      </c>
      <c r="CY117" s="62" t="s">
        <v>294</v>
      </c>
      <c r="CZ117" s="62" t="s">
        <v>294</v>
      </c>
      <c r="DA117" s="62" t="s">
        <v>294</v>
      </c>
      <c r="DB117" s="62" t="s">
        <v>294</v>
      </c>
      <c r="DC117" s="62" t="s">
        <v>294</v>
      </c>
      <c r="DD117" s="62" t="s">
        <v>294</v>
      </c>
      <c r="DE117" s="62" t="s">
        <v>294</v>
      </c>
      <c r="DF117" s="62" t="s">
        <v>294</v>
      </c>
      <c r="DG117" s="62" t="s">
        <v>294</v>
      </c>
      <c r="DH117" s="62" t="s">
        <v>294</v>
      </c>
      <c r="DI117" s="62" t="s">
        <v>294</v>
      </c>
      <c r="DJ117" s="62" t="s">
        <v>294</v>
      </c>
      <c r="DK117" s="62" t="s">
        <v>294</v>
      </c>
      <c r="DL117" s="62" t="s">
        <v>294</v>
      </c>
      <c r="DM117" s="62" t="s">
        <v>294</v>
      </c>
      <c r="DN117" s="328" t="s">
        <v>294</v>
      </c>
      <c r="DO117" s="328" t="s">
        <v>294</v>
      </c>
      <c r="DP117" s="328" t="s">
        <v>294</v>
      </c>
      <c r="DQ117" s="328" t="s">
        <v>294</v>
      </c>
    </row>
    <row r="118" spans="1:121" x14ac:dyDescent="0.25">
      <c r="A118" s="62" t="s">
        <v>119</v>
      </c>
      <c r="B118" s="56" t="str">
        <f>VLOOKUP(Table3[[#This Row],[Station]], StationName, 2, FALSE)</f>
        <v>I00-11468-1</v>
      </c>
      <c r="C118" s="362">
        <v>1912001</v>
      </c>
      <c r="D118" s="325">
        <v>44440.388194444444</v>
      </c>
      <c r="E118" s="326" t="s">
        <v>283</v>
      </c>
      <c r="F118" s="327">
        <v>96</v>
      </c>
      <c r="G118" s="327">
        <v>106</v>
      </c>
      <c r="H118" s="327">
        <v>66</v>
      </c>
      <c r="I118" s="327">
        <v>82</v>
      </c>
      <c r="J118" s="327">
        <v>86</v>
      </c>
      <c r="K118" s="327">
        <v>71</v>
      </c>
      <c r="L118" s="327">
        <v>84</v>
      </c>
      <c r="M118" s="327">
        <v>95</v>
      </c>
      <c r="N118" s="327">
        <v>53</v>
      </c>
      <c r="O118" s="327" t="s">
        <v>259</v>
      </c>
      <c r="P118" s="62" t="s">
        <v>259</v>
      </c>
      <c r="Q118" s="62" t="s">
        <v>259</v>
      </c>
      <c r="R118" s="62" t="s">
        <v>259</v>
      </c>
      <c r="S118" s="327" t="s">
        <v>259</v>
      </c>
      <c r="T118" s="327" t="s">
        <v>259</v>
      </c>
      <c r="U118" s="327" t="s">
        <v>256</v>
      </c>
      <c r="V118" s="327" t="s">
        <v>256</v>
      </c>
      <c r="W118" s="327" t="s">
        <v>256</v>
      </c>
      <c r="X118" s="327" t="s">
        <v>256</v>
      </c>
      <c r="Y118" s="327" t="s">
        <v>284</v>
      </c>
      <c r="Z118" s="327">
        <v>1.75</v>
      </c>
      <c r="AA118" s="327" t="s">
        <v>256</v>
      </c>
      <c r="AB118" s="327" t="s">
        <v>256</v>
      </c>
      <c r="AC118" s="327" t="s">
        <v>256</v>
      </c>
      <c r="AD118" s="327" t="s">
        <v>256</v>
      </c>
      <c r="AE118" s="327" t="s">
        <v>256</v>
      </c>
      <c r="AF118" s="62" t="s">
        <v>256</v>
      </c>
      <c r="AG118" s="62" t="s">
        <v>256</v>
      </c>
      <c r="AH118" s="62" t="s">
        <v>256</v>
      </c>
      <c r="AI118" s="327" t="s">
        <v>256</v>
      </c>
      <c r="AJ118" s="327" t="s">
        <v>248</v>
      </c>
      <c r="AK118" s="327" t="s">
        <v>259</v>
      </c>
      <c r="AL118" s="327" t="s">
        <v>259</v>
      </c>
      <c r="AM118" s="327" t="s">
        <v>251</v>
      </c>
      <c r="AN118" s="327" t="s">
        <v>256</v>
      </c>
      <c r="AO118" s="327" t="s">
        <v>259</v>
      </c>
      <c r="AP118" s="62" t="s">
        <v>251</v>
      </c>
      <c r="AQ118" s="62" t="s">
        <v>256</v>
      </c>
      <c r="AR118" s="62" t="s">
        <v>256</v>
      </c>
      <c r="AS118" s="62" t="s">
        <v>285</v>
      </c>
      <c r="AT118" s="62" t="s">
        <v>259</v>
      </c>
      <c r="AU118" s="327" t="s">
        <v>284</v>
      </c>
      <c r="AV118" s="327" t="s">
        <v>259</v>
      </c>
      <c r="AW118" s="62" t="s">
        <v>256</v>
      </c>
      <c r="AX118" s="62" t="s">
        <v>256</v>
      </c>
      <c r="AY118" s="62" t="s">
        <v>256</v>
      </c>
      <c r="AZ118" s="62" t="s">
        <v>256</v>
      </c>
      <c r="BA118" s="62" t="s">
        <v>256</v>
      </c>
      <c r="BB118" s="62" t="s">
        <v>259</v>
      </c>
      <c r="BC118" s="62" t="s">
        <v>286</v>
      </c>
      <c r="BD118" s="62" t="s">
        <v>248</v>
      </c>
      <c r="BE118" s="62" t="s">
        <v>259</v>
      </c>
      <c r="BF118" s="62" t="s">
        <v>248</v>
      </c>
      <c r="BG118" s="327">
        <v>2.29</v>
      </c>
      <c r="BH118" s="327" t="s">
        <v>256</v>
      </c>
      <c r="BI118" s="327" t="s">
        <v>256</v>
      </c>
      <c r="BJ118" s="62" t="s">
        <v>256</v>
      </c>
      <c r="BK118" s="327" t="s">
        <v>256</v>
      </c>
      <c r="BL118" s="327" t="s">
        <v>256</v>
      </c>
      <c r="BM118" s="327" t="s">
        <v>259</v>
      </c>
      <c r="BN118" s="62" t="s">
        <v>256</v>
      </c>
      <c r="BO118" s="62" t="s">
        <v>259</v>
      </c>
      <c r="BP118" s="62" t="s">
        <v>284</v>
      </c>
      <c r="BQ118" s="62" t="s">
        <v>256</v>
      </c>
      <c r="BR118" s="327">
        <v>2.62</v>
      </c>
      <c r="BS118" s="327" t="s">
        <v>256</v>
      </c>
      <c r="BT118" s="327" t="s">
        <v>284</v>
      </c>
      <c r="BU118" s="327">
        <v>2.66</v>
      </c>
      <c r="BV118" s="327" t="s">
        <v>248</v>
      </c>
      <c r="BW118" s="62" t="s">
        <v>285</v>
      </c>
      <c r="BX118" s="62" t="s">
        <v>287</v>
      </c>
      <c r="BY118" s="62" t="s">
        <v>259</v>
      </c>
      <c r="BZ118" s="62" t="s">
        <v>259</v>
      </c>
      <c r="CA118" s="62">
        <v>1.2</v>
      </c>
      <c r="CB118" s="62" t="s">
        <v>254</v>
      </c>
      <c r="CC118" s="62">
        <v>462</v>
      </c>
      <c r="CD118" s="62" t="s">
        <v>230</v>
      </c>
      <c r="CE118" s="62">
        <v>0.32</v>
      </c>
      <c r="CF118" s="62">
        <v>1.1000000000000001</v>
      </c>
      <c r="CG118" s="62">
        <v>7.6</v>
      </c>
      <c r="CH118" s="62">
        <v>3800</v>
      </c>
      <c r="CI118" s="62">
        <v>200</v>
      </c>
      <c r="CJ118" s="62" t="s">
        <v>254</v>
      </c>
      <c r="CK118" s="62">
        <v>644</v>
      </c>
      <c r="CL118" s="62">
        <v>96</v>
      </c>
      <c r="CM118" s="62">
        <v>7.0999999999999994E-2</v>
      </c>
      <c r="CN118" s="62" t="s">
        <v>288</v>
      </c>
      <c r="CO118" s="62">
        <v>3.4</v>
      </c>
      <c r="CP118" s="62">
        <v>2</v>
      </c>
      <c r="CQ118" s="62" t="s">
        <v>254</v>
      </c>
      <c r="CR118" s="62" t="s">
        <v>254</v>
      </c>
      <c r="CS118" s="62">
        <v>7</v>
      </c>
      <c r="CT118" s="62" t="s">
        <v>284</v>
      </c>
      <c r="CU118" s="62" t="s">
        <v>153</v>
      </c>
      <c r="CV118" s="62">
        <v>2000</v>
      </c>
      <c r="CW118" s="62" t="s">
        <v>153</v>
      </c>
      <c r="CX118" s="62">
        <v>0.62</v>
      </c>
      <c r="CY118" s="62">
        <v>5.8999999999999997E-2</v>
      </c>
      <c r="CZ118" s="62">
        <v>7.56</v>
      </c>
      <c r="DA118" s="62">
        <v>0.52</v>
      </c>
      <c r="DB118" s="62">
        <v>12000</v>
      </c>
      <c r="DC118" s="62">
        <v>3400</v>
      </c>
      <c r="DD118" s="62">
        <v>21</v>
      </c>
      <c r="DE118" s="62">
        <v>7700</v>
      </c>
      <c r="DF118" s="62" t="s">
        <v>289</v>
      </c>
      <c r="DG118" s="62">
        <v>0.7</v>
      </c>
      <c r="DH118" s="62">
        <v>0.92</v>
      </c>
      <c r="DI118" s="62">
        <v>1420</v>
      </c>
      <c r="DJ118" s="62">
        <v>40</v>
      </c>
      <c r="DK118" s="62">
        <v>20</v>
      </c>
      <c r="DL118" s="62" t="s">
        <v>355</v>
      </c>
      <c r="DM118" s="62">
        <v>8.01</v>
      </c>
      <c r="DN118" s="328">
        <v>7.4</v>
      </c>
      <c r="DO118" s="328">
        <v>10804</v>
      </c>
      <c r="DP118" s="328">
        <v>20.57</v>
      </c>
      <c r="DQ118" s="328">
        <v>0.97</v>
      </c>
    </row>
    <row r="119" spans="1:121" hidden="1" x14ac:dyDescent="0.25">
      <c r="A119" s="62" t="s">
        <v>119</v>
      </c>
      <c r="B119" s="56" t="str">
        <f>VLOOKUP(Table3[[#This Row],[Station]], StationName, 2, FALSE)</f>
        <v>I00-11468-1</v>
      </c>
      <c r="C119" s="362">
        <v>1912003</v>
      </c>
      <c r="D119" s="325">
        <v>44440.388194444444</v>
      </c>
      <c r="E119" s="326" t="s">
        <v>293</v>
      </c>
      <c r="F119" s="327" t="s">
        <v>294</v>
      </c>
      <c r="G119" s="327" t="s">
        <v>294</v>
      </c>
      <c r="H119" s="327" t="s">
        <v>294</v>
      </c>
      <c r="I119" s="327" t="s">
        <v>294</v>
      </c>
      <c r="J119" s="327" t="s">
        <v>294</v>
      </c>
      <c r="K119" s="327" t="s">
        <v>294</v>
      </c>
      <c r="L119" s="327" t="s">
        <v>294</v>
      </c>
      <c r="M119" s="327" t="s">
        <v>294</v>
      </c>
      <c r="N119" s="327" t="s">
        <v>294</v>
      </c>
      <c r="O119" s="327" t="s">
        <v>294</v>
      </c>
      <c r="P119" s="62" t="s">
        <v>294</v>
      </c>
      <c r="Q119" s="62" t="s">
        <v>294</v>
      </c>
      <c r="R119" s="62" t="s">
        <v>294</v>
      </c>
      <c r="S119" s="327" t="s">
        <v>294</v>
      </c>
      <c r="T119" s="327" t="s">
        <v>294</v>
      </c>
      <c r="U119" s="327" t="s">
        <v>294</v>
      </c>
      <c r="V119" s="327" t="s">
        <v>294</v>
      </c>
      <c r="W119" s="327" t="s">
        <v>294</v>
      </c>
      <c r="X119" s="327" t="s">
        <v>294</v>
      </c>
      <c r="Y119" s="327" t="s">
        <v>294</v>
      </c>
      <c r="Z119" s="327" t="s">
        <v>294</v>
      </c>
      <c r="AA119" s="327" t="s">
        <v>294</v>
      </c>
      <c r="AB119" s="327" t="s">
        <v>294</v>
      </c>
      <c r="AC119" s="327" t="s">
        <v>294</v>
      </c>
      <c r="AD119" s="327" t="s">
        <v>294</v>
      </c>
      <c r="AE119" s="327" t="s">
        <v>294</v>
      </c>
      <c r="AF119" s="62" t="s">
        <v>294</v>
      </c>
      <c r="AG119" s="62" t="s">
        <v>294</v>
      </c>
      <c r="AH119" s="62" t="s">
        <v>294</v>
      </c>
      <c r="AI119" s="327" t="s">
        <v>294</v>
      </c>
      <c r="AJ119" s="327" t="s">
        <v>294</v>
      </c>
      <c r="AK119" s="327" t="s">
        <v>294</v>
      </c>
      <c r="AL119" s="327" t="s">
        <v>294</v>
      </c>
      <c r="AM119" s="327" t="s">
        <v>294</v>
      </c>
      <c r="AN119" s="327" t="s">
        <v>294</v>
      </c>
      <c r="AO119" s="327" t="s">
        <v>294</v>
      </c>
      <c r="AP119" s="62" t="s">
        <v>294</v>
      </c>
      <c r="AQ119" s="62" t="s">
        <v>294</v>
      </c>
      <c r="AR119" s="62" t="s">
        <v>294</v>
      </c>
      <c r="AS119" s="62" t="s">
        <v>294</v>
      </c>
      <c r="AT119" s="62" t="s">
        <v>294</v>
      </c>
      <c r="AU119" s="327" t="s">
        <v>294</v>
      </c>
      <c r="AV119" s="327" t="s">
        <v>294</v>
      </c>
      <c r="AW119" s="62" t="s">
        <v>294</v>
      </c>
      <c r="AX119" s="62" t="s">
        <v>294</v>
      </c>
      <c r="AY119" s="62" t="s">
        <v>294</v>
      </c>
      <c r="AZ119" s="62" t="s">
        <v>294</v>
      </c>
      <c r="BA119" s="62" t="s">
        <v>294</v>
      </c>
      <c r="BB119" s="62" t="s">
        <v>294</v>
      </c>
      <c r="BC119" s="62" t="s">
        <v>294</v>
      </c>
      <c r="BD119" s="62" t="s">
        <v>294</v>
      </c>
      <c r="BE119" s="62" t="s">
        <v>294</v>
      </c>
      <c r="BF119" s="62" t="s">
        <v>294</v>
      </c>
      <c r="BG119" s="327" t="s">
        <v>294</v>
      </c>
      <c r="BH119" s="327" t="s">
        <v>294</v>
      </c>
      <c r="BI119" s="327" t="s">
        <v>294</v>
      </c>
      <c r="BJ119" s="62" t="s">
        <v>294</v>
      </c>
      <c r="BK119" s="327" t="s">
        <v>294</v>
      </c>
      <c r="BL119" s="327" t="s">
        <v>294</v>
      </c>
      <c r="BM119" s="327" t="s">
        <v>294</v>
      </c>
      <c r="BN119" s="62" t="s">
        <v>294</v>
      </c>
      <c r="BO119" s="62" t="s">
        <v>294</v>
      </c>
      <c r="BP119" s="62" t="s">
        <v>294</v>
      </c>
      <c r="BQ119" s="62" t="s">
        <v>294</v>
      </c>
      <c r="BR119" s="327" t="s">
        <v>294</v>
      </c>
      <c r="BS119" s="327" t="s">
        <v>294</v>
      </c>
      <c r="BT119" s="327" t="s">
        <v>294</v>
      </c>
      <c r="BU119" s="327" t="s">
        <v>294</v>
      </c>
      <c r="BV119" s="327" t="s">
        <v>294</v>
      </c>
      <c r="BW119" s="62" t="s">
        <v>294</v>
      </c>
      <c r="BX119" s="62" t="s">
        <v>294</v>
      </c>
      <c r="BY119" s="62" t="s">
        <v>294</v>
      </c>
      <c r="BZ119" s="62" t="s">
        <v>294</v>
      </c>
      <c r="CA119" s="62">
        <v>1.1000000000000001</v>
      </c>
      <c r="CB119" s="62" t="s">
        <v>254</v>
      </c>
      <c r="CC119" s="62" t="s">
        <v>294</v>
      </c>
      <c r="CD119" s="62" t="s">
        <v>230</v>
      </c>
      <c r="CE119" s="62" t="s">
        <v>254</v>
      </c>
      <c r="CF119" s="62">
        <v>1.1000000000000001</v>
      </c>
      <c r="CG119" s="62" t="s">
        <v>294</v>
      </c>
      <c r="CH119" s="62" t="s">
        <v>294</v>
      </c>
      <c r="CI119" s="62">
        <v>38</v>
      </c>
      <c r="CJ119" s="62" t="s">
        <v>254</v>
      </c>
      <c r="CK119" s="62" t="s">
        <v>294</v>
      </c>
      <c r="CL119" s="62">
        <v>89</v>
      </c>
      <c r="CM119" s="62" t="s">
        <v>294</v>
      </c>
      <c r="CN119" s="62" t="s">
        <v>288</v>
      </c>
      <c r="CO119" s="62">
        <v>3.6</v>
      </c>
      <c r="CP119" s="62">
        <v>2</v>
      </c>
      <c r="CQ119" s="62" t="s">
        <v>254</v>
      </c>
      <c r="CR119" s="62" t="s">
        <v>254</v>
      </c>
      <c r="CS119" s="62" t="s">
        <v>294</v>
      </c>
      <c r="CT119" s="62" t="s">
        <v>284</v>
      </c>
      <c r="CU119" s="62" t="s">
        <v>294</v>
      </c>
      <c r="CV119" s="62" t="s">
        <v>294</v>
      </c>
      <c r="CW119" s="62" t="s">
        <v>294</v>
      </c>
      <c r="CX119" s="62" t="s">
        <v>294</v>
      </c>
      <c r="CY119" s="62" t="s">
        <v>294</v>
      </c>
      <c r="CZ119" s="62" t="s">
        <v>294</v>
      </c>
      <c r="DA119" s="62" t="s">
        <v>294</v>
      </c>
      <c r="DB119" s="62" t="s">
        <v>294</v>
      </c>
      <c r="DC119" s="62" t="s">
        <v>294</v>
      </c>
      <c r="DD119" s="62" t="s">
        <v>294</v>
      </c>
      <c r="DE119" s="62" t="s">
        <v>294</v>
      </c>
      <c r="DF119" s="62" t="s">
        <v>294</v>
      </c>
      <c r="DG119" s="62" t="s">
        <v>294</v>
      </c>
      <c r="DH119" s="62" t="s">
        <v>294</v>
      </c>
      <c r="DI119" s="62" t="s">
        <v>294</v>
      </c>
      <c r="DJ119" s="62" t="s">
        <v>294</v>
      </c>
      <c r="DK119" s="62" t="s">
        <v>294</v>
      </c>
      <c r="DL119" s="62" t="s">
        <v>294</v>
      </c>
      <c r="DM119" s="62" t="s">
        <v>294</v>
      </c>
      <c r="DN119" s="328" t="s">
        <v>294</v>
      </c>
      <c r="DO119" s="328" t="s">
        <v>294</v>
      </c>
      <c r="DP119" s="328" t="s">
        <v>294</v>
      </c>
      <c r="DQ119" s="328" t="s">
        <v>294</v>
      </c>
    </row>
    <row r="120" spans="1:121" x14ac:dyDescent="0.25">
      <c r="A120" s="62" t="s">
        <v>170</v>
      </c>
      <c r="B120" s="56" t="str">
        <f>VLOOKUP(Table3[[#This Row],[Station]], StationName, 2, FALSE)</f>
        <v>L01-749-2</v>
      </c>
      <c r="C120" s="362">
        <v>1914002</v>
      </c>
      <c r="D120" s="325">
        <v>44440.396527777775</v>
      </c>
      <c r="E120" s="326" t="s">
        <v>283</v>
      </c>
      <c r="F120" s="327">
        <v>101</v>
      </c>
      <c r="G120" s="327">
        <v>112</v>
      </c>
      <c r="H120" s="327">
        <v>79</v>
      </c>
      <c r="I120" s="327">
        <v>84</v>
      </c>
      <c r="J120" s="327">
        <v>83</v>
      </c>
      <c r="K120" s="327">
        <v>91</v>
      </c>
      <c r="L120" s="327">
        <v>97</v>
      </c>
      <c r="M120" s="327">
        <v>88</v>
      </c>
      <c r="N120" s="327">
        <v>70</v>
      </c>
      <c r="O120" s="327" t="s">
        <v>259</v>
      </c>
      <c r="P120" s="62" t="s">
        <v>259</v>
      </c>
      <c r="Q120" s="62" t="s">
        <v>259</v>
      </c>
      <c r="R120" s="62" t="s">
        <v>259</v>
      </c>
      <c r="S120" s="327" t="s">
        <v>259</v>
      </c>
      <c r="T120" s="327" t="s">
        <v>259</v>
      </c>
      <c r="U120" s="327">
        <v>2.78</v>
      </c>
      <c r="V120" s="327" t="s">
        <v>256</v>
      </c>
      <c r="W120" s="327" t="s">
        <v>256</v>
      </c>
      <c r="X120" s="327" t="s">
        <v>256</v>
      </c>
      <c r="Y120" s="327" t="s">
        <v>284</v>
      </c>
      <c r="Z120" s="327">
        <v>2.41</v>
      </c>
      <c r="AA120" s="327" t="s">
        <v>256</v>
      </c>
      <c r="AB120" s="327" t="s">
        <v>256</v>
      </c>
      <c r="AC120" s="327" t="s">
        <v>256</v>
      </c>
      <c r="AD120" s="327" t="s">
        <v>256</v>
      </c>
      <c r="AE120" s="327" t="s">
        <v>256</v>
      </c>
      <c r="AF120" s="62" t="s">
        <v>256</v>
      </c>
      <c r="AG120" s="62" t="s">
        <v>256</v>
      </c>
      <c r="AH120" s="62" t="s">
        <v>256</v>
      </c>
      <c r="AI120" s="327" t="s">
        <v>256</v>
      </c>
      <c r="AJ120" s="327" t="s">
        <v>248</v>
      </c>
      <c r="AK120" s="327" t="s">
        <v>259</v>
      </c>
      <c r="AL120" s="327" t="s">
        <v>259</v>
      </c>
      <c r="AM120" s="327" t="s">
        <v>251</v>
      </c>
      <c r="AN120" s="327" t="s">
        <v>256</v>
      </c>
      <c r="AO120" s="327" t="s">
        <v>259</v>
      </c>
      <c r="AP120" s="62" t="s">
        <v>251</v>
      </c>
      <c r="AQ120" s="62" t="s">
        <v>256</v>
      </c>
      <c r="AR120" s="62" t="s">
        <v>256</v>
      </c>
      <c r="AS120" s="62" t="s">
        <v>285</v>
      </c>
      <c r="AT120" s="62" t="s">
        <v>259</v>
      </c>
      <c r="AU120" s="327" t="s">
        <v>284</v>
      </c>
      <c r="AV120" s="327" t="s">
        <v>259</v>
      </c>
      <c r="AW120" s="62" t="s">
        <v>256</v>
      </c>
      <c r="AX120" s="62" t="s">
        <v>256</v>
      </c>
      <c r="AY120" s="62" t="s">
        <v>256</v>
      </c>
      <c r="AZ120" s="62" t="s">
        <v>256</v>
      </c>
      <c r="BA120" s="62" t="s">
        <v>256</v>
      </c>
      <c r="BB120" s="62" t="s">
        <v>259</v>
      </c>
      <c r="BC120" s="62" t="s">
        <v>286</v>
      </c>
      <c r="BD120" s="62" t="s">
        <v>248</v>
      </c>
      <c r="BE120" s="62" t="s">
        <v>259</v>
      </c>
      <c r="BF120" s="62" t="s">
        <v>248</v>
      </c>
      <c r="BG120" s="327" t="s">
        <v>256</v>
      </c>
      <c r="BH120" s="327" t="s">
        <v>256</v>
      </c>
      <c r="BI120" s="327" t="s">
        <v>256</v>
      </c>
      <c r="BJ120" s="62" t="s">
        <v>256</v>
      </c>
      <c r="BK120" s="327" t="s">
        <v>256</v>
      </c>
      <c r="BL120" s="327" t="s">
        <v>256</v>
      </c>
      <c r="BM120" s="327" t="s">
        <v>259</v>
      </c>
      <c r="BN120" s="62" t="s">
        <v>256</v>
      </c>
      <c r="BO120" s="62" t="s">
        <v>259</v>
      </c>
      <c r="BP120" s="62" t="s">
        <v>284</v>
      </c>
      <c r="BQ120" s="62" t="s">
        <v>256</v>
      </c>
      <c r="BR120" s="327">
        <v>2.79</v>
      </c>
      <c r="BS120" s="327">
        <v>1.24</v>
      </c>
      <c r="BT120" s="327" t="s">
        <v>284</v>
      </c>
      <c r="BU120" s="327">
        <v>2.12</v>
      </c>
      <c r="BV120" s="327" t="s">
        <v>248</v>
      </c>
      <c r="BW120" s="62" t="s">
        <v>285</v>
      </c>
      <c r="BX120" s="62" t="s">
        <v>287</v>
      </c>
      <c r="BY120" s="62" t="s">
        <v>259</v>
      </c>
      <c r="BZ120" s="62" t="s">
        <v>259</v>
      </c>
      <c r="CA120" s="62">
        <v>1.6</v>
      </c>
      <c r="CB120" s="62">
        <v>4</v>
      </c>
      <c r="CC120" s="62">
        <v>249</v>
      </c>
      <c r="CD120" s="62" t="s">
        <v>230</v>
      </c>
      <c r="CE120" s="62">
        <v>0.25</v>
      </c>
      <c r="CF120" s="62">
        <v>3.6</v>
      </c>
      <c r="CG120" s="62">
        <v>15</v>
      </c>
      <c r="CH120" s="62">
        <v>1950</v>
      </c>
      <c r="CI120" s="62">
        <v>72</v>
      </c>
      <c r="CJ120" s="62" t="s">
        <v>254</v>
      </c>
      <c r="CK120" s="62">
        <v>322</v>
      </c>
      <c r="CL120" s="62">
        <v>54</v>
      </c>
      <c r="CM120" s="62" t="s">
        <v>288</v>
      </c>
      <c r="CN120" s="62" t="s">
        <v>288</v>
      </c>
      <c r="CO120" s="62">
        <v>34</v>
      </c>
      <c r="CP120" s="62">
        <v>5.2</v>
      </c>
      <c r="CQ120" s="62" t="s">
        <v>254</v>
      </c>
      <c r="CR120" s="62" t="s">
        <v>254</v>
      </c>
      <c r="CS120" s="62">
        <v>15</v>
      </c>
      <c r="CT120" s="62" t="s">
        <v>284</v>
      </c>
      <c r="CU120" s="62" t="s">
        <v>153</v>
      </c>
      <c r="CV120" s="62">
        <v>470</v>
      </c>
      <c r="CW120" s="62">
        <v>1.1000000000000001</v>
      </c>
      <c r="CX120" s="62">
        <v>0.91</v>
      </c>
      <c r="CY120" s="62">
        <v>0.35</v>
      </c>
      <c r="CZ120" s="62">
        <v>7.54</v>
      </c>
      <c r="DA120" s="62">
        <v>1.4</v>
      </c>
      <c r="DB120" s="62">
        <v>6100</v>
      </c>
      <c r="DC120" s="62">
        <v>2400</v>
      </c>
      <c r="DD120" s="62">
        <v>21.3</v>
      </c>
      <c r="DE120" s="62">
        <v>4300</v>
      </c>
      <c r="DF120" s="62" t="s">
        <v>289</v>
      </c>
      <c r="DG120" s="62">
        <v>1.9</v>
      </c>
      <c r="DH120" s="62">
        <v>1.2</v>
      </c>
      <c r="DI120" s="62">
        <v>3100</v>
      </c>
      <c r="DJ120" s="62" t="s">
        <v>403</v>
      </c>
      <c r="DK120" s="62" t="s">
        <v>404</v>
      </c>
      <c r="DL120" s="62" t="s">
        <v>405</v>
      </c>
      <c r="DM120" s="62">
        <v>5</v>
      </c>
      <c r="DN120" s="328">
        <v>7.94</v>
      </c>
      <c r="DO120" s="328">
        <v>5279.4</v>
      </c>
      <c r="DP120" s="328">
        <v>22.02</v>
      </c>
      <c r="DQ120" s="328">
        <v>1.64</v>
      </c>
    </row>
    <row r="121" spans="1:121" hidden="1" x14ac:dyDescent="0.25">
      <c r="A121" s="62" t="s">
        <v>170</v>
      </c>
      <c r="B121" s="56" t="str">
        <f>VLOOKUP(Table3[[#This Row],[Station]], StationName, 2, FALSE)</f>
        <v>L01-749-2</v>
      </c>
      <c r="C121" s="362">
        <v>1914007</v>
      </c>
      <c r="D121" s="325">
        <v>44440.396527777775</v>
      </c>
      <c r="E121" s="326" t="s">
        <v>293</v>
      </c>
      <c r="F121" s="327" t="s">
        <v>294</v>
      </c>
      <c r="G121" s="327" t="s">
        <v>294</v>
      </c>
      <c r="H121" s="327" t="s">
        <v>294</v>
      </c>
      <c r="I121" s="327" t="s">
        <v>294</v>
      </c>
      <c r="J121" s="327" t="s">
        <v>294</v>
      </c>
      <c r="K121" s="327" t="s">
        <v>294</v>
      </c>
      <c r="L121" s="327" t="s">
        <v>294</v>
      </c>
      <c r="M121" s="327" t="s">
        <v>294</v>
      </c>
      <c r="N121" s="327" t="s">
        <v>294</v>
      </c>
      <c r="O121" s="327" t="s">
        <v>294</v>
      </c>
      <c r="P121" s="62" t="s">
        <v>294</v>
      </c>
      <c r="Q121" s="62" t="s">
        <v>294</v>
      </c>
      <c r="R121" s="62" t="s">
        <v>294</v>
      </c>
      <c r="S121" s="327" t="s">
        <v>294</v>
      </c>
      <c r="T121" s="327" t="s">
        <v>294</v>
      </c>
      <c r="U121" s="327" t="s">
        <v>294</v>
      </c>
      <c r="V121" s="327" t="s">
        <v>294</v>
      </c>
      <c r="W121" s="327" t="s">
        <v>294</v>
      </c>
      <c r="X121" s="327" t="s">
        <v>294</v>
      </c>
      <c r="Y121" s="327" t="s">
        <v>294</v>
      </c>
      <c r="Z121" s="327" t="s">
        <v>294</v>
      </c>
      <c r="AA121" s="327" t="s">
        <v>294</v>
      </c>
      <c r="AB121" s="327" t="s">
        <v>294</v>
      </c>
      <c r="AC121" s="327" t="s">
        <v>294</v>
      </c>
      <c r="AD121" s="327" t="s">
        <v>294</v>
      </c>
      <c r="AE121" s="327" t="s">
        <v>294</v>
      </c>
      <c r="AF121" s="62" t="s">
        <v>294</v>
      </c>
      <c r="AG121" s="62" t="s">
        <v>294</v>
      </c>
      <c r="AH121" s="62" t="s">
        <v>294</v>
      </c>
      <c r="AI121" s="327" t="s">
        <v>294</v>
      </c>
      <c r="AJ121" s="327" t="s">
        <v>294</v>
      </c>
      <c r="AK121" s="327" t="s">
        <v>294</v>
      </c>
      <c r="AL121" s="327" t="s">
        <v>294</v>
      </c>
      <c r="AM121" s="327" t="s">
        <v>294</v>
      </c>
      <c r="AN121" s="327" t="s">
        <v>294</v>
      </c>
      <c r="AO121" s="327" t="s">
        <v>294</v>
      </c>
      <c r="AP121" s="62" t="s">
        <v>294</v>
      </c>
      <c r="AQ121" s="62" t="s">
        <v>294</v>
      </c>
      <c r="AR121" s="62" t="s">
        <v>294</v>
      </c>
      <c r="AS121" s="62" t="s">
        <v>294</v>
      </c>
      <c r="AT121" s="62" t="s">
        <v>294</v>
      </c>
      <c r="AU121" s="327" t="s">
        <v>294</v>
      </c>
      <c r="AV121" s="327" t="s">
        <v>294</v>
      </c>
      <c r="AW121" s="62" t="s">
        <v>294</v>
      </c>
      <c r="AX121" s="62" t="s">
        <v>294</v>
      </c>
      <c r="AY121" s="62" t="s">
        <v>294</v>
      </c>
      <c r="AZ121" s="62" t="s">
        <v>294</v>
      </c>
      <c r="BA121" s="62" t="s">
        <v>294</v>
      </c>
      <c r="BB121" s="62" t="s">
        <v>294</v>
      </c>
      <c r="BC121" s="62" t="s">
        <v>294</v>
      </c>
      <c r="BD121" s="62" t="s">
        <v>294</v>
      </c>
      <c r="BE121" s="62" t="s">
        <v>294</v>
      </c>
      <c r="BF121" s="62" t="s">
        <v>294</v>
      </c>
      <c r="BG121" s="327" t="s">
        <v>294</v>
      </c>
      <c r="BH121" s="327" t="s">
        <v>294</v>
      </c>
      <c r="BI121" s="327" t="s">
        <v>294</v>
      </c>
      <c r="BJ121" s="62" t="s">
        <v>294</v>
      </c>
      <c r="BK121" s="327" t="s">
        <v>294</v>
      </c>
      <c r="BL121" s="327" t="s">
        <v>294</v>
      </c>
      <c r="BM121" s="327" t="s">
        <v>294</v>
      </c>
      <c r="BN121" s="62" t="s">
        <v>294</v>
      </c>
      <c r="BO121" s="62" t="s">
        <v>294</v>
      </c>
      <c r="BP121" s="62" t="s">
        <v>294</v>
      </c>
      <c r="BQ121" s="62" t="s">
        <v>294</v>
      </c>
      <c r="BR121" s="327" t="s">
        <v>294</v>
      </c>
      <c r="BS121" s="327" t="s">
        <v>294</v>
      </c>
      <c r="BT121" s="327" t="s">
        <v>294</v>
      </c>
      <c r="BU121" s="327" t="s">
        <v>294</v>
      </c>
      <c r="BV121" s="327" t="s">
        <v>294</v>
      </c>
      <c r="BW121" s="62" t="s">
        <v>294</v>
      </c>
      <c r="BX121" s="62" t="s">
        <v>294</v>
      </c>
      <c r="BY121" s="62" t="s">
        <v>294</v>
      </c>
      <c r="BZ121" s="62" t="s">
        <v>294</v>
      </c>
      <c r="CA121" s="62">
        <v>1.7</v>
      </c>
      <c r="CB121" s="62">
        <v>1.6</v>
      </c>
      <c r="CC121" s="62" t="s">
        <v>294</v>
      </c>
      <c r="CD121" s="62" t="s">
        <v>230</v>
      </c>
      <c r="CE121" s="62">
        <v>0.2</v>
      </c>
      <c r="CF121" s="62">
        <v>2.8</v>
      </c>
      <c r="CG121" s="62" t="s">
        <v>294</v>
      </c>
      <c r="CH121" s="62" t="s">
        <v>294</v>
      </c>
      <c r="CI121" s="62" t="s">
        <v>286</v>
      </c>
      <c r="CJ121" s="62" t="s">
        <v>254</v>
      </c>
      <c r="CK121" s="62" t="s">
        <v>294</v>
      </c>
      <c r="CL121" s="62">
        <v>41</v>
      </c>
      <c r="CM121" s="62" t="s">
        <v>294</v>
      </c>
      <c r="CN121" s="62" t="s">
        <v>288</v>
      </c>
      <c r="CO121" s="62">
        <v>33</v>
      </c>
      <c r="CP121" s="62">
        <v>5.0999999999999996</v>
      </c>
      <c r="CQ121" s="62" t="s">
        <v>254</v>
      </c>
      <c r="CR121" s="62" t="s">
        <v>254</v>
      </c>
      <c r="CS121" s="62" t="s">
        <v>294</v>
      </c>
      <c r="CT121" s="62" t="s">
        <v>284</v>
      </c>
      <c r="CU121" s="62" t="s">
        <v>294</v>
      </c>
      <c r="CV121" s="62" t="s">
        <v>294</v>
      </c>
      <c r="CW121" s="62" t="s">
        <v>294</v>
      </c>
      <c r="CX121" s="62" t="s">
        <v>294</v>
      </c>
      <c r="CY121" s="62" t="s">
        <v>294</v>
      </c>
      <c r="CZ121" s="62" t="s">
        <v>294</v>
      </c>
      <c r="DA121" s="62" t="s">
        <v>294</v>
      </c>
      <c r="DB121" s="62" t="s">
        <v>294</v>
      </c>
      <c r="DC121" s="62" t="s">
        <v>294</v>
      </c>
      <c r="DD121" s="62" t="s">
        <v>294</v>
      </c>
      <c r="DE121" s="62" t="s">
        <v>294</v>
      </c>
      <c r="DF121" s="62" t="s">
        <v>294</v>
      </c>
      <c r="DG121" s="62" t="s">
        <v>294</v>
      </c>
      <c r="DH121" s="62" t="s">
        <v>294</v>
      </c>
      <c r="DI121" s="62" t="s">
        <v>294</v>
      </c>
      <c r="DJ121" s="62" t="s">
        <v>294</v>
      </c>
      <c r="DK121" s="62" t="s">
        <v>294</v>
      </c>
      <c r="DL121" s="62" t="s">
        <v>294</v>
      </c>
      <c r="DM121" s="62" t="s">
        <v>294</v>
      </c>
      <c r="DN121" s="328" t="s">
        <v>294</v>
      </c>
      <c r="DO121" s="328" t="s">
        <v>294</v>
      </c>
      <c r="DP121" s="328" t="s">
        <v>294</v>
      </c>
      <c r="DQ121" s="328" t="s">
        <v>294</v>
      </c>
    </row>
    <row r="122" spans="1:121" x14ac:dyDescent="0.25">
      <c r="A122" s="62" t="s">
        <v>123</v>
      </c>
      <c r="B122" s="56" t="str">
        <f>VLOOKUP(Table3[[#This Row],[Station]], StationName, 2, FALSE)</f>
        <v>I01-11010-1</v>
      </c>
      <c r="C122" s="362">
        <v>1912002</v>
      </c>
      <c r="D122" s="325">
        <v>44440.431944444441</v>
      </c>
      <c r="E122" s="326" t="s">
        <v>283</v>
      </c>
      <c r="F122" s="327">
        <v>100</v>
      </c>
      <c r="G122" s="327">
        <v>113</v>
      </c>
      <c r="H122" s="327">
        <v>71</v>
      </c>
      <c r="I122" s="327">
        <v>87</v>
      </c>
      <c r="J122" s="327">
        <v>87</v>
      </c>
      <c r="K122" s="327">
        <v>70</v>
      </c>
      <c r="L122" s="327">
        <v>84</v>
      </c>
      <c r="M122" s="327">
        <v>91</v>
      </c>
      <c r="N122" s="327">
        <v>49</v>
      </c>
      <c r="O122" s="327" t="s">
        <v>259</v>
      </c>
      <c r="P122" s="62" t="s">
        <v>259</v>
      </c>
      <c r="Q122" s="62" t="s">
        <v>259</v>
      </c>
      <c r="R122" s="62" t="s">
        <v>259</v>
      </c>
      <c r="S122" s="327" t="s">
        <v>259</v>
      </c>
      <c r="T122" s="327" t="s">
        <v>259</v>
      </c>
      <c r="U122" s="327" t="s">
        <v>256</v>
      </c>
      <c r="V122" s="327" t="s">
        <v>256</v>
      </c>
      <c r="W122" s="327" t="s">
        <v>256</v>
      </c>
      <c r="X122" s="327" t="s">
        <v>256</v>
      </c>
      <c r="Y122" s="327" t="s">
        <v>284</v>
      </c>
      <c r="Z122" s="327">
        <v>2.04</v>
      </c>
      <c r="AA122" s="327" t="s">
        <v>256</v>
      </c>
      <c r="AB122" s="327" t="s">
        <v>256</v>
      </c>
      <c r="AC122" s="327" t="s">
        <v>256</v>
      </c>
      <c r="AD122" s="327" t="s">
        <v>256</v>
      </c>
      <c r="AE122" s="327" t="s">
        <v>256</v>
      </c>
      <c r="AF122" s="62" t="s">
        <v>256</v>
      </c>
      <c r="AG122" s="62" t="s">
        <v>256</v>
      </c>
      <c r="AH122" s="62" t="s">
        <v>256</v>
      </c>
      <c r="AI122" s="327" t="s">
        <v>256</v>
      </c>
      <c r="AJ122" s="327" t="s">
        <v>248</v>
      </c>
      <c r="AK122" s="327" t="s">
        <v>259</v>
      </c>
      <c r="AL122" s="327" t="s">
        <v>259</v>
      </c>
      <c r="AM122" s="327" t="s">
        <v>251</v>
      </c>
      <c r="AN122" s="327" t="s">
        <v>256</v>
      </c>
      <c r="AO122" s="327" t="s">
        <v>259</v>
      </c>
      <c r="AP122" s="62" t="s">
        <v>251</v>
      </c>
      <c r="AQ122" s="62" t="s">
        <v>256</v>
      </c>
      <c r="AR122" s="62" t="s">
        <v>256</v>
      </c>
      <c r="AS122" s="62" t="s">
        <v>285</v>
      </c>
      <c r="AT122" s="62" t="s">
        <v>259</v>
      </c>
      <c r="AU122" s="327" t="s">
        <v>284</v>
      </c>
      <c r="AV122" s="327" t="s">
        <v>259</v>
      </c>
      <c r="AW122" s="62" t="s">
        <v>256</v>
      </c>
      <c r="AX122" s="62" t="s">
        <v>256</v>
      </c>
      <c r="AY122" s="62" t="s">
        <v>256</v>
      </c>
      <c r="AZ122" s="62" t="s">
        <v>256</v>
      </c>
      <c r="BA122" s="62" t="s">
        <v>256</v>
      </c>
      <c r="BB122" s="62" t="s">
        <v>259</v>
      </c>
      <c r="BC122" s="62" t="s">
        <v>286</v>
      </c>
      <c r="BD122" s="62" t="s">
        <v>248</v>
      </c>
      <c r="BE122" s="62" t="s">
        <v>259</v>
      </c>
      <c r="BF122" s="62" t="s">
        <v>248</v>
      </c>
      <c r="BG122" s="327">
        <v>4.0599999999999996</v>
      </c>
      <c r="BH122" s="327" t="s">
        <v>256</v>
      </c>
      <c r="BI122" s="327" t="s">
        <v>256</v>
      </c>
      <c r="BJ122" s="62" t="s">
        <v>256</v>
      </c>
      <c r="BK122" s="327" t="s">
        <v>256</v>
      </c>
      <c r="BL122" s="327" t="s">
        <v>256</v>
      </c>
      <c r="BM122" s="327" t="s">
        <v>259</v>
      </c>
      <c r="BN122" s="62" t="s">
        <v>256</v>
      </c>
      <c r="BO122" s="62" t="s">
        <v>259</v>
      </c>
      <c r="BP122" s="62" t="s">
        <v>284</v>
      </c>
      <c r="BQ122" s="62" t="s">
        <v>256</v>
      </c>
      <c r="BR122" s="327">
        <v>4.1399999999999997</v>
      </c>
      <c r="BS122" s="327">
        <v>1.65</v>
      </c>
      <c r="BT122" s="327" t="s">
        <v>284</v>
      </c>
      <c r="BU122" s="327">
        <v>5.59</v>
      </c>
      <c r="BV122" s="327" t="s">
        <v>248</v>
      </c>
      <c r="BW122" s="62" t="s">
        <v>285</v>
      </c>
      <c r="BX122" s="62" t="s">
        <v>287</v>
      </c>
      <c r="BY122" s="62" t="s">
        <v>259</v>
      </c>
      <c r="BZ122" s="62" t="s">
        <v>259</v>
      </c>
      <c r="CA122" s="62">
        <v>2</v>
      </c>
      <c r="CB122" s="62" t="s">
        <v>254</v>
      </c>
      <c r="CC122" s="62">
        <v>337</v>
      </c>
      <c r="CD122" s="62" t="s">
        <v>230</v>
      </c>
      <c r="CE122" s="62" t="s">
        <v>254</v>
      </c>
      <c r="CF122" s="62">
        <v>4.9000000000000004</v>
      </c>
      <c r="CG122" s="62">
        <v>5.0999999999999996</v>
      </c>
      <c r="CH122" s="62">
        <v>2020</v>
      </c>
      <c r="CI122" s="62" t="s">
        <v>286</v>
      </c>
      <c r="CJ122" s="62">
        <v>0.39</v>
      </c>
      <c r="CK122" s="62">
        <v>287</v>
      </c>
      <c r="CL122" s="62">
        <v>32</v>
      </c>
      <c r="CM122" s="62">
        <v>7.2999999999999995E-2</v>
      </c>
      <c r="CN122" s="62" t="s">
        <v>288</v>
      </c>
      <c r="CO122" s="62" t="s">
        <v>259</v>
      </c>
      <c r="CP122" s="62">
        <v>3.3</v>
      </c>
      <c r="CQ122" s="62" t="s">
        <v>254</v>
      </c>
      <c r="CR122" s="62" t="s">
        <v>254</v>
      </c>
      <c r="CS122" s="62">
        <v>4.3</v>
      </c>
      <c r="CT122" s="62" t="s">
        <v>284</v>
      </c>
      <c r="CU122" s="62" t="s">
        <v>153</v>
      </c>
      <c r="CV122" s="62">
        <v>1100</v>
      </c>
      <c r="CW122" s="62">
        <v>0.45</v>
      </c>
      <c r="CX122" s="62" t="s">
        <v>258</v>
      </c>
      <c r="CY122" s="62">
        <v>0.15</v>
      </c>
      <c r="CZ122" s="62">
        <v>7.95</v>
      </c>
      <c r="DA122" s="62">
        <v>0.77</v>
      </c>
      <c r="DB122" s="62">
        <v>7800</v>
      </c>
      <c r="DC122" s="62">
        <v>1800</v>
      </c>
      <c r="DD122" s="62">
        <v>21.3</v>
      </c>
      <c r="DE122" s="62">
        <v>4900</v>
      </c>
      <c r="DF122" s="62" t="s">
        <v>289</v>
      </c>
      <c r="DG122" s="62">
        <v>0.7</v>
      </c>
      <c r="DH122" s="62">
        <v>0.54</v>
      </c>
      <c r="DI122" s="62">
        <v>2800</v>
      </c>
      <c r="DJ122" s="62" t="s">
        <v>406</v>
      </c>
      <c r="DK122" s="62">
        <v>680</v>
      </c>
      <c r="DL122" s="62" t="s">
        <v>381</v>
      </c>
      <c r="DM122" s="62">
        <v>7.46</v>
      </c>
      <c r="DN122" s="328">
        <v>7.83</v>
      </c>
      <c r="DO122" s="328">
        <v>7011.65</v>
      </c>
      <c r="DP122" s="328">
        <v>22.75</v>
      </c>
      <c r="DQ122" s="328">
        <v>0.56999999999999995</v>
      </c>
    </row>
    <row r="123" spans="1:121" hidden="1" x14ac:dyDescent="0.25">
      <c r="A123" s="62" t="s">
        <v>123</v>
      </c>
      <c r="B123" s="56" t="str">
        <f>VLOOKUP(Table3[[#This Row],[Station]], StationName, 2, FALSE)</f>
        <v>I01-11010-1</v>
      </c>
      <c r="C123" s="362">
        <v>1912004</v>
      </c>
      <c r="D123" s="325">
        <v>44440.431944444441</v>
      </c>
      <c r="E123" s="326" t="s">
        <v>293</v>
      </c>
      <c r="F123" s="327" t="s">
        <v>294</v>
      </c>
      <c r="G123" s="327" t="s">
        <v>294</v>
      </c>
      <c r="H123" s="327" t="s">
        <v>294</v>
      </c>
      <c r="I123" s="327" t="s">
        <v>294</v>
      </c>
      <c r="J123" s="327" t="s">
        <v>294</v>
      </c>
      <c r="K123" s="327" t="s">
        <v>294</v>
      </c>
      <c r="L123" s="327" t="s">
        <v>294</v>
      </c>
      <c r="M123" s="327" t="s">
        <v>294</v>
      </c>
      <c r="N123" s="327" t="s">
        <v>294</v>
      </c>
      <c r="O123" s="327" t="s">
        <v>294</v>
      </c>
      <c r="P123" s="62" t="s">
        <v>294</v>
      </c>
      <c r="Q123" s="62" t="s">
        <v>294</v>
      </c>
      <c r="R123" s="62" t="s">
        <v>294</v>
      </c>
      <c r="S123" s="327" t="s">
        <v>294</v>
      </c>
      <c r="T123" s="327" t="s">
        <v>294</v>
      </c>
      <c r="U123" s="327" t="s">
        <v>294</v>
      </c>
      <c r="V123" s="327" t="s">
        <v>294</v>
      </c>
      <c r="W123" s="327" t="s">
        <v>294</v>
      </c>
      <c r="X123" s="327" t="s">
        <v>294</v>
      </c>
      <c r="Y123" s="327" t="s">
        <v>294</v>
      </c>
      <c r="Z123" s="327" t="s">
        <v>294</v>
      </c>
      <c r="AA123" s="327" t="s">
        <v>294</v>
      </c>
      <c r="AB123" s="327" t="s">
        <v>294</v>
      </c>
      <c r="AC123" s="327" t="s">
        <v>294</v>
      </c>
      <c r="AD123" s="327" t="s">
        <v>294</v>
      </c>
      <c r="AE123" s="327" t="s">
        <v>294</v>
      </c>
      <c r="AF123" s="62" t="s">
        <v>294</v>
      </c>
      <c r="AG123" s="62" t="s">
        <v>294</v>
      </c>
      <c r="AH123" s="62" t="s">
        <v>294</v>
      </c>
      <c r="AI123" s="327" t="s">
        <v>294</v>
      </c>
      <c r="AJ123" s="327" t="s">
        <v>294</v>
      </c>
      <c r="AK123" s="327" t="s">
        <v>294</v>
      </c>
      <c r="AL123" s="327" t="s">
        <v>294</v>
      </c>
      <c r="AM123" s="327" t="s">
        <v>294</v>
      </c>
      <c r="AN123" s="327" t="s">
        <v>294</v>
      </c>
      <c r="AO123" s="327" t="s">
        <v>294</v>
      </c>
      <c r="AP123" s="62" t="s">
        <v>294</v>
      </c>
      <c r="AQ123" s="62" t="s">
        <v>294</v>
      </c>
      <c r="AR123" s="62" t="s">
        <v>294</v>
      </c>
      <c r="AS123" s="62" t="s">
        <v>294</v>
      </c>
      <c r="AT123" s="62" t="s">
        <v>294</v>
      </c>
      <c r="AU123" s="327" t="s">
        <v>294</v>
      </c>
      <c r="AV123" s="327" t="s">
        <v>294</v>
      </c>
      <c r="AW123" s="62" t="s">
        <v>294</v>
      </c>
      <c r="AX123" s="62" t="s">
        <v>294</v>
      </c>
      <c r="AY123" s="62" t="s">
        <v>294</v>
      </c>
      <c r="AZ123" s="62" t="s">
        <v>294</v>
      </c>
      <c r="BA123" s="62" t="s">
        <v>294</v>
      </c>
      <c r="BB123" s="62" t="s">
        <v>294</v>
      </c>
      <c r="BC123" s="62" t="s">
        <v>294</v>
      </c>
      <c r="BD123" s="62" t="s">
        <v>294</v>
      </c>
      <c r="BE123" s="62" t="s">
        <v>294</v>
      </c>
      <c r="BF123" s="62" t="s">
        <v>294</v>
      </c>
      <c r="BG123" s="327" t="s">
        <v>294</v>
      </c>
      <c r="BH123" s="327" t="s">
        <v>294</v>
      </c>
      <c r="BI123" s="327" t="s">
        <v>294</v>
      </c>
      <c r="BJ123" s="62" t="s">
        <v>294</v>
      </c>
      <c r="BK123" s="327" t="s">
        <v>294</v>
      </c>
      <c r="BL123" s="327" t="s">
        <v>294</v>
      </c>
      <c r="BM123" s="327" t="s">
        <v>294</v>
      </c>
      <c r="BN123" s="62" t="s">
        <v>294</v>
      </c>
      <c r="BO123" s="62" t="s">
        <v>294</v>
      </c>
      <c r="BP123" s="62" t="s">
        <v>294</v>
      </c>
      <c r="BQ123" s="62" t="s">
        <v>294</v>
      </c>
      <c r="BR123" s="327" t="s">
        <v>294</v>
      </c>
      <c r="BS123" s="327" t="s">
        <v>294</v>
      </c>
      <c r="BT123" s="327" t="s">
        <v>294</v>
      </c>
      <c r="BU123" s="327" t="s">
        <v>294</v>
      </c>
      <c r="BV123" s="327" t="s">
        <v>294</v>
      </c>
      <c r="BW123" s="62" t="s">
        <v>294</v>
      </c>
      <c r="BX123" s="62" t="s">
        <v>294</v>
      </c>
      <c r="BY123" s="62" t="s">
        <v>294</v>
      </c>
      <c r="BZ123" s="62" t="s">
        <v>294</v>
      </c>
      <c r="CA123" s="62">
        <v>1.9</v>
      </c>
      <c r="CB123" s="62" t="s">
        <v>254</v>
      </c>
      <c r="CC123" s="62" t="s">
        <v>294</v>
      </c>
      <c r="CD123" s="62" t="s">
        <v>230</v>
      </c>
      <c r="CE123" s="62" t="s">
        <v>254</v>
      </c>
      <c r="CF123" s="62">
        <v>3.6</v>
      </c>
      <c r="CG123" s="62" t="s">
        <v>294</v>
      </c>
      <c r="CH123" s="62" t="s">
        <v>294</v>
      </c>
      <c r="CI123" s="62" t="s">
        <v>286</v>
      </c>
      <c r="CJ123" s="62">
        <v>0.28000000000000003</v>
      </c>
      <c r="CK123" s="62" t="s">
        <v>294</v>
      </c>
      <c r="CL123" s="62">
        <v>27</v>
      </c>
      <c r="CM123" s="62" t="s">
        <v>294</v>
      </c>
      <c r="CN123" s="62" t="s">
        <v>288</v>
      </c>
      <c r="CO123" s="62" t="s">
        <v>259</v>
      </c>
      <c r="CP123" s="62">
        <v>3.4</v>
      </c>
      <c r="CQ123" s="62" t="s">
        <v>254</v>
      </c>
      <c r="CR123" s="62" t="s">
        <v>254</v>
      </c>
      <c r="CS123" s="62" t="s">
        <v>294</v>
      </c>
      <c r="CT123" s="62" t="s">
        <v>284</v>
      </c>
      <c r="CU123" s="62" t="s">
        <v>294</v>
      </c>
      <c r="CV123" s="62" t="s">
        <v>294</v>
      </c>
      <c r="CW123" s="62" t="s">
        <v>294</v>
      </c>
      <c r="CX123" s="62" t="s">
        <v>294</v>
      </c>
      <c r="CY123" s="62" t="s">
        <v>294</v>
      </c>
      <c r="CZ123" s="62" t="s">
        <v>294</v>
      </c>
      <c r="DA123" s="62" t="s">
        <v>294</v>
      </c>
      <c r="DB123" s="62" t="s">
        <v>294</v>
      </c>
      <c r="DC123" s="62" t="s">
        <v>294</v>
      </c>
      <c r="DD123" s="62" t="s">
        <v>294</v>
      </c>
      <c r="DE123" s="62" t="s">
        <v>294</v>
      </c>
      <c r="DF123" s="62" t="s">
        <v>294</v>
      </c>
      <c r="DG123" s="62" t="s">
        <v>294</v>
      </c>
      <c r="DH123" s="62" t="s">
        <v>294</v>
      </c>
      <c r="DI123" s="62" t="s">
        <v>294</v>
      </c>
      <c r="DJ123" s="62" t="s">
        <v>294</v>
      </c>
      <c r="DK123" s="62" t="s">
        <v>294</v>
      </c>
      <c r="DL123" s="62" t="s">
        <v>294</v>
      </c>
      <c r="DM123" s="62" t="s">
        <v>294</v>
      </c>
      <c r="DN123" s="328" t="s">
        <v>294</v>
      </c>
      <c r="DO123" s="328" t="s">
        <v>294</v>
      </c>
      <c r="DP123" s="328" t="s">
        <v>294</v>
      </c>
      <c r="DQ123" s="328" t="s">
        <v>294</v>
      </c>
    </row>
    <row r="124" spans="1:121" x14ac:dyDescent="0.25">
      <c r="A124" s="62" t="s">
        <v>353</v>
      </c>
      <c r="B124" s="56" t="str">
        <f>VLOOKUP(Table3[[#This Row],[Station]], StationName, 2, FALSE)</f>
        <v>L01-766-2 (L01S06)</v>
      </c>
      <c r="C124" s="362">
        <v>1914005</v>
      </c>
      <c r="D124" s="325">
        <v>44440.463194444441</v>
      </c>
      <c r="E124" s="326" t="s">
        <v>283</v>
      </c>
      <c r="F124" s="327">
        <v>94</v>
      </c>
      <c r="G124" s="327">
        <v>106</v>
      </c>
      <c r="H124" s="327">
        <v>67</v>
      </c>
      <c r="I124" s="327">
        <v>83</v>
      </c>
      <c r="J124" s="327">
        <v>82</v>
      </c>
      <c r="K124" s="327">
        <v>71</v>
      </c>
      <c r="L124" s="327">
        <v>84</v>
      </c>
      <c r="M124" s="327">
        <v>94</v>
      </c>
      <c r="N124" s="327">
        <v>54</v>
      </c>
      <c r="O124" s="327" t="s">
        <v>259</v>
      </c>
      <c r="P124" s="62" t="s">
        <v>259</v>
      </c>
      <c r="Q124" s="62" t="s">
        <v>259</v>
      </c>
      <c r="R124" s="62" t="s">
        <v>259</v>
      </c>
      <c r="S124" s="327" t="s">
        <v>259</v>
      </c>
      <c r="T124" s="327" t="s">
        <v>259</v>
      </c>
      <c r="U124" s="327" t="s">
        <v>256</v>
      </c>
      <c r="V124" s="327" t="s">
        <v>256</v>
      </c>
      <c r="W124" s="327" t="s">
        <v>256</v>
      </c>
      <c r="X124" s="327" t="s">
        <v>256</v>
      </c>
      <c r="Y124" s="327" t="s">
        <v>284</v>
      </c>
      <c r="Z124" s="327">
        <v>1.83</v>
      </c>
      <c r="AA124" s="327" t="s">
        <v>256</v>
      </c>
      <c r="AB124" s="327" t="s">
        <v>256</v>
      </c>
      <c r="AC124" s="327" t="s">
        <v>256</v>
      </c>
      <c r="AD124" s="327" t="s">
        <v>256</v>
      </c>
      <c r="AE124" s="327" t="s">
        <v>256</v>
      </c>
      <c r="AF124" s="62" t="s">
        <v>256</v>
      </c>
      <c r="AG124" s="62" t="s">
        <v>256</v>
      </c>
      <c r="AH124" s="62" t="s">
        <v>256</v>
      </c>
      <c r="AI124" s="327" t="s">
        <v>256</v>
      </c>
      <c r="AJ124" s="327" t="s">
        <v>248</v>
      </c>
      <c r="AK124" s="327" t="s">
        <v>259</v>
      </c>
      <c r="AL124" s="327" t="s">
        <v>259</v>
      </c>
      <c r="AM124" s="327" t="s">
        <v>251</v>
      </c>
      <c r="AN124" s="327" t="s">
        <v>256</v>
      </c>
      <c r="AO124" s="327" t="s">
        <v>259</v>
      </c>
      <c r="AP124" s="62" t="s">
        <v>251</v>
      </c>
      <c r="AQ124" s="62" t="s">
        <v>256</v>
      </c>
      <c r="AR124" s="62" t="s">
        <v>256</v>
      </c>
      <c r="AS124" s="62" t="s">
        <v>285</v>
      </c>
      <c r="AT124" s="62" t="s">
        <v>259</v>
      </c>
      <c r="AU124" s="327" t="s">
        <v>284</v>
      </c>
      <c r="AV124" s="327" t="s">
        <v>259</v>
      </c>
      <c r="AW124" s="62" t="s">
        <v>256</v>
      </c>
      <c r="AX124" s="62" t="s">
        <v>256</v>
      </c>
      <c r="AY124" s="62" t="s">
        <v>256</v>
      </c>
      <c r="AZ124" s="62" t="s">
        <v>256</v>
      </c>
      <c r="BA124" s="62" t="s">
        <v>256</v>
      </c>
      <c r="BB124" s="62" t="s">
        <v>259</v>
      </c>
      <c r="BC124" s="62" t="s">
        <v>286</v>
      </c>
      <c r="BD124" s="62" t="s">
        <v>248</v>
      </c>
      <c r="BE124" s="62" t="s">
        <v>259</v>
      </c>
      <c r="BF124" s="62" t="s">
        <v>248</v>
      </c>
      <c r="BG124" s="327">
        <v>2.23</v>
      </c>
      <c r="BH124" s="327" t="s">
        <v>256</v>
      </c>
      <c r="BI124" s="327" t="s">
        <v>256</v>
      </c>
      <c r="BJ124" s="62" t="s">
        <v>256</v>
      </c>
      <c r="BK124" s="327" t="s">
        <v>256</v>
      </c>
      <c r="BL124" s="327" t="s">
        <v>256</v>
      </c>
      <c r="BM124" s="327" t="s">
        <v>259</v>
      </c>
      <c r="BN124" s="62" t="s">
        <v>256</v>
      </c>
      <c r="BO124" s="62" t="s">
        <v>259</v>
      </c>
      <c r="BP124" s="62" t="s">
        <v>284</v>
      </c>
      <c r="BQ124" s="62" t="s">
        <v>256</v>
      </c>
      <c r="BR124" s="327">
        <v>2.2400000000000002</v>
      </c>
      <c r="BS124" s="327" t="s">
        <v>256</v>
      </c>
      <c r="BT124" s="327" t="s">
        <v>284</v>
      </c>
      <c r="BU124" s="327">
        <v>3.79</v>
      </c>
      <c r="BV124" s="327" t="s">
        <v>248</v>
      </c>
      <c r="BW124" s="62" t="s">
        <v>285</v>
      </c>
      <c r="BX124" s="62" t="s">
        <v>287</v>
      </c>
      <c r="BY124" s="62" t="s">
        <v>259</v>
      </c>
      <c r="BZ124" s="62" t="s">
        <v>259</v>
      </c>
      <c r="CA124" s="62">
        <v>1.3</v>
      </c>
      <c r="CB124" s="62" t="s">
        <v>254</v>
      </c>
      <c r="CC124" s="62">
        <v>118</v>
      </c>
      <c r="CD124" s="62">
        <v>0.64</v>
      </c>
      <c r="CE124" s="62">
        <v>0.66</v>
      </c>
      <c r="CF124" s="62">
        <v>2.5</v>
      </c>
      <c r="CG124" s="62">
        <v>3.9</v>
      </c>
      <c r="CH124" s="62">
        <v>642</v>
      </c>
      <c r="CI124" s="62">
        <v>31</v>
      </c>
      <c r="CJ124" s="62" t="s">
        <v>254</v>
      </c>
      <c r="CK124" s="62">
        <v>84.6</v>
      </c>
      <c r="CL124" s="62" t="s">
        <v>251</v>
      </c>
      <c r="CM124" s="62" t="s">
        <v>288</v>
      </c>
      <c r="CN124" s="62" t="s">
        <v>288</v>
      </c>
      <c r="CO124" s="62" t="s">
        <v>259</v>
      </c>
      <c r="CP124" s="62">
        <v>4.5</v>
      </c>
      <c r="CQ124" s="62" t="s">
        <v>254</v>
      </c>
      <c r="CR124" s="62" t="s">
        <v>254</v>
      </c>
      <c r="CS124" s="62">
        <v>3.2</v>
      </c>
      <c r="CT124" s="62" t="s">
        <v>284</v>
      </c>
      <c r="CU124" s="62" t="s">
        <v>153</v>
      </c>
      <c r="CV124" s="62">
        <v>1000</v>
      </c>
      <c r="CW124" s="62">
        <v>4.8</v>
      </c>
      <c r="CX124" s="62">
        <v>0.22</v>
      </c>
      <c r="CY124" s="62">
        <v>9.8000000000000004E-2</v>
      </c>
      <c r="CZ124" s="62">
        <v>8.4</v>
      </c>
      <c r="DA124" s="62">
        <v>0.3</v>
      </c>
      <c r="DB124" s="62">
        <v>3700</v>
      </c>
      <c r="DC124" s="62">
        <v>1600</v>
      </c>
      <c r="DD124" s="62">
        <v>21.3</v>
      </c>
      <c r="DE124" s="62">
        <v>2000</v>
      </c>
      <c r="DF124" s="62" t="s">
        <v>289</v>
      </c>
      <c r="DG124" s="62">
        <v>5.2</v>
      </c>
      <c r="DH124" s="62">
        <v>0.38</v>
      </c>
      <c r="DI124" s="62">
        <v>2200</v>
      </c>
      <c r="DJ124" s="62">
        <v>1160</v>
      </c>
      <c r="DK124" s="62">
        <v>1470</v>
      </c>
      <c r="DL124" s="62" t="s">
        <v>407</v>
      </c>
      <c r="DM124" s="62">
        <v>9.44</v>
      </c>
      <c r="DN124" s="328">
        <v>8.84</v>
      </c>
      <c r="DO124" s="328">
        <v>3221</v>
      </c>
      <c r="DP124" s="328">
        <v>22.7</v>
      </c>
      <c r="DQ124" s="328">
        <v>1.36</v>
      </c>
    </row>
    <row r="125" spans="1:121" hidden="1" x14ac:dyDescent="0.25">
      <c r="A125" s="62" t="s">
        <v>353</v>
      </c>
      <c r="B125" s="56" t="str">
        <f>VLOOKUP(Table3[[#This Row],[Station]], StationName, 2, FALSE)</f>
        <v>L01-766-2 (L01S06)</v>
      </c>
      <c r="C125" s="362">
        <v>1914010</v>
      </c>
      <c r="D125" s="325">
        <v>44440.463194444441</v>
      </c>
      <c r="E125" s="326" t="s">
        <v>293</v>
      </c>
      <c r="F125" s="327" t="s">
        <v>294</v>
      </c>
      <c r="G125" s="327" t="s">
        <v>294</v>
      </c>
      <c r="H125" s="327" t="s">
        <v>294</v>
      </c>
      <c r="I125" s="327" t="s">
        <v>294</v>
      </c>
      <c r="J125" s="327" t="s">
        <v>294</v>
      </c>
      <c r="K125" s="327" t="s">
        <v>294</v>
      </c>
      <c r="L125" s="327" t="s">
        <v>294</v>
      </c>
      <c r="M125" s="327" t="s">
        <v>294</v>
      </c>
      <c r="N125" s="327" t="s">
        <v>294</v>
      </c>
      <c r="O125" s="327" t="s">
        <v>294</v>
      </c>
      <c r="P125" s="62" t="s">
        <v>294</v>
      </c>
      <c r="Q125" s="62" t="s">
        <v>294</v>
      </c>
      <c r="R125" s="62" t="s">
        <v>294</v>
      </c>
      <c r="S125" s="327" t="s">
        <v>294</v>
      </c>
      <c r="T125" s="327" t="s">
        <v>294</v>
      </c>
      <c r="U125" s="327" t="s">
        <v>294</v>
      </c>
      <c r="V125" s="327" t="s">
        <v>294</v>
      </c>
      <c r="W125" s="327" t="s">
        <v>294</v>
      </c>
      <c r="X125" s="327" t="s">
        <v>294</v>
      </c>
      <c r="Y125" s="327" t="s">
        <v>294</v>
      </c>
      <c r="Z125" s="327" t="s">
        <v>294</v>
      </c>
      <c r="AA125" s="327" t="s">
        <v>294</v>
      </c>
      <c r="AB125" s="327" t="s">
        <v>294</v>
      </c>
      <c r="AC125" s="327" t="s">
        <v>294</v>
      </c>
      <c r="AD125" s="327" t="s">
        <v>294</v>
      </c>
      <c r="AE125" s="327" t="s">
        <v>294</v>
      </c>
      <c r="AF125" s="62" t="s">
        <v>294</v>
      </c>
      <c r="AG125" s="62" t="s">
        <v>294</v>
      </c>
      <c r="AH125" s="62" t="s">
        <v>294</v>
      </c>
      <c r="AI125" s="327" t="s">
        <v>294</v>
      </c>
      <c r="AJ125" s="327" t="s">
        <v>294</v>
      </c>
      <c r="AK125" s="327" t="s">
        <v>294</v>
      </c>
      <c r="AL125" s="327" t="s">
        <v>294</v>
      </c>
      <c r="AM125" s="327" t="s">
        <v>294</v>
      </c>
      <c r="AN125" s="327" t="s">
        <v>294</v>
      </c>
      <c r="AO125" s="327" t="s">
        <v>294</v>
      </c>
      <c r="AP125" s="62" t="s">
        <v>294</v>
      </c>
      <c r="AQ125" s="62" t="s">
        <v>294</v>
      </c>
      <c r="AR125" s="62" t="s">
        <v>294</v>
      </c>
      <c r="AS125" s="62" t="s">
        <v>294</v>
      </c>
      <c r="AT125" s="62" t="s">
        <v>294</v>
      </c>
      <c r="AU125" s="327" t="s">
        <v>294</v>
      </c>
      <c r="AV125" s="327" t="s">
        <v>294</v>
      </c>
      <c r="AW125" s="62" t="s">
        <v>294</v>
      </c>
      <c r="AX125" s="62" t="s">
        <v>294</v>
      </c>
      <c r="AY125" s="62" t="s">
        <v>294</v>
      </c>
      <c r="AZ125" s="62" t="s">
        <v>294</v>
      </c>
      <c r="BA125" s="62" t="s">
        <v>294</v>
      </c>
      <c r="BB125" s="62" t="s">
        <v>294</v>
      </c>
      <c r="BC125" s="62" t="s">
        <v>294</v>
      </c>
      <c r="BD125" s="62" t="s">
        <v>294</v>
      </c>
      <c r="BE125" s="62" t="s">
        <v>294</v>
      </c>
      <c r="BF125" s="62" t="s">
        <v>294</v>
      </c>
      <c r="BG125" s="327" t="s">
        <v>294</v>
      </c>
      <c r="BH125" s="327" t="s">
        <v>294</v>
      </c>
      <c r="BI125" s="327" t="s">
        <v>294</v>
      </c>
      <c r="BJ125" s="62" t="s">
        <v>294</v>
      </c>
      <c r="BK125" s="327" t="s">
        <v>294</v>
      </c>
      <c r="BL125" s="327" t="s">
        <v>294</v>
      </c>
      <c r="BM125" s="327" t="s">
        <v>294</v>
      </c>
      <c r="BN125" s="62" t="s">
        <v>294</v>
      </c>
      <c r="BO125" s="62" t="s">
        <v>294</v>
      </c>
      <c r="BP125" s="62" t="s">
        <v>294</v>
      </c>
      <c r="BQ125" s="62" t="s">
        <v>294</v>
      </c>
      <c r="BR125" s="327" t="s">
        <v>294</v>
      </c>
      <c r="BS125" s="327" t="s">
        <v>294</v>
      </c>
      <c r="BT125" s="327" t="s">
        <v>294</v>
      </c>
      <c r="BU125" s="327" t="s">
        <v>294</v>
      </c>
      <c r="BV125" s="327" t="s">
        <v>294</v>
      </c>
      <c r="BW125" s="62" t="s">
        <v>294</v>
      </c>
      <c r="BX125" s="62" t="s">
        <v>294</v>
      </c>
      <c r="BY125" s="62" t="s">
        <v>294</v>
      </c>
      <c r="BZ125" s="62" t="s">
        <v>294</v>
      </c>
      <c r="CA125" s="62">
        <v>1.2</v>
      </c>
      <c r="CB125" s="62" t="s">
        <v>254</v>
      </c>
      <c r="CC125" s="62" t="s">
        <v>294</v>
      </c>
      <c r="CD125" s="62">
        <v>0.68</v>
      </c>
      <c r="CE125" s="62">
        <v>0.63</v>
      </c>
      <c r="CF125" s="62">
        <v>2.2000000000000002</v>
      </c>
      <c r="CG125" s="62" t="s">
        <v>294</v>
      </c>
      <c r="CH125" s="62" t="s">
        <v>294</v>
      </c>
      <c r="CI125" s="62" t="s">
        <v>286</v>
      </c>
      <c r="CJ125" s="62" t="s">
        <v>254</v>
      </c>
      <c r="CK125" s="62" t="s">
        <v>294</v>
      </c>
      <c r="CL125" s="62" t="s">
        <v>251</v>
      </c>
      <c r="CM125" s="62" t="s">
        <v>294</v>
      </c>
      <c r="CN125" s="62" t="s">
        <v>288</v>
      </c>
      <c r="CO125" s="62" t="s">
        <v>259</v>
      </c>
      <c r="CP125" s="62">
        <v>4.4000000000000004</v>
      </c>
      <c r="CQ125" s="62" t="s">
        <v>254</v>
      </c>
      <c r="CR125" s="62" t="s">
        <v>254</v>
      </c>
      <c r="CS125" s="62" t="s">
        <v>294</v>
      </c>
      <c r="CT125" s="62" t="s">
        <v>284</v>
      </c>
      <c r="CU125" s="62" t="s">
        <v>294</v>
      </c>
      <c r="CV125" s="62" t="s">
        <v>294</v>
      </c>
      <c r="CW125" s="62" t="s">
        <v>294</v>
      </c>
      <c r="CX125" s="62" t="s">
        <v>294</v>
      </c>
      <c r="CY125" s="62" t="s">
        <v>294</v>
      </c>
      <c r="CZ125" s="62" t="s">
        <v>294</v>
      </c>
      <c r="DA125" s="62" t="s">
        <v>294</v>
      </c>
      <c r="DB125" s="62" t="s">
        <v>294</v>
      </c>
      <c r="DC125" s="62" t="s">
        <v>294</v>
      </c>
      <c r="DD125" s="62" t="s">
        <v>294</v>
      </c>
      <c r="DE125" s="62" t="s">
        <v>294</v>
      </c>
      <c r="DF125" s="62" t="s">
        <v>294</v>
      </c>
      <c r="DG125" s="62" t="s">
        <v>294</v>
      </c>
      <c r="DH125" s="62" t="s">
        <v>294</v>
      </c>
      <c r="DI125" s="62" t="s">
        <v>294</v>
      </c>
      <c r="DJ125" s="62" t="s">
        <v>294</v>
      </c>
      <c r="DK125" s="62" t="s">
        <v>294</v>
      </c>
      <c r="DL125" s="62" t="s">
        <v>294</v>
      </c>
      <c r="DM125" s="62" t="s">
        <v>294</v>
      </c>
      <c r="DN125" s="328" t="s">
        <v>294</v>
      </c>
      <c r="DO125" s="328" t="s">
        <v>294</v>
      </c>
      <c r="DP125" s="328" t="s">
        <v>294</v>
      </c>
      <c r="DQ125" s="328" t="s">
        <v>294</v>
      </c>
    </row>
    <row r="126" spans="1:121" x14ac:dyDescent="0.25">
      <c r="A126" s="62" t="s">
        <v>349</v>
      </c>
      <c r="B126" s="56" t="str">
        <f>VLOOKUP(Table3[[#This Row],[Station]], StationName, 2, FALSE)</f>
        <v>L02-541-9 (L02P02)</v>
      </c>
      <c r="C126" s="362">
        <v>1914001</v>
      </c>
      <c r="D126" s="325">
        <v>44440.501388888886</v>
      </c>
      <c r="E126" s="326" t="s">
        <v>283</v>
      </c>
      <c r="F126" s="327">
        <v>96</v>
      </c>
      <c r="G126" s="327">
        <v>108</v>
      </c>
      <c r="H126" s="327">
        <v>86</v>
      </c>
      <c r="I126" s="327">
        <v>84</v>
      </c>
      <c r="J126" s="327">
        <v>79</v>
      </c>
      <c r="K126" s="327">
        <v>78</v>
      </c>
      <c r="L126" s="327">
        <v>89</v>
      </c>
      <c r="M126" s="327">
        <v>83</v>
      </c>
      <c r="N126" s="327">
        <v>59</v>
      </c>
      <c r="O126" s="327" t="s">
        <v>259</v>
      </c>
      <c r="P126" s="62" t="s">
        <v>259</v>
      </c>
      <c r="Q126" s="62" t="s">
        <v>259</v>
      </c>
      <c r="R126" s="62" t="s">
        <v>259</v>
      </c>
      <c r="S126" s="327" t="s">
        <v>259</v>
      </c>
      <c r="T126" s="327" t="s">
        <v>259</v>
      </c>
      <c r="U126" s="327">
        <v>1.81</v>
      </c>
      <c r="V126" s="327" t="s">
        <v>256</v>
      </c>
      <c r="W126" s="327" t="s">
        <v>256</v>
      </c>
      <c r="X126" s="327" t="s">
        <v>256</v>
      </c>
      <c r="Y126" s="327" t="s">
        <v>284</v>
      </c>
      <c r="Z126" s="327">
        <v>2.57</v>
      </c>
      <c r="AA126" s="327" t="s">
        <v>256</v>
      </c>
      <c r="AB126" s="327" t="s">
        <v>256</v>
      </c>
      <c r="AC126" s="327" t="s">
        <v>256</v>
      </c>
      <c r="AD126" s="327" t="s">
        <v>256</v>
      </c>
      <c r="AE126" s="327" t="s">
        <v>256</v>
      </c>
      <c r="AF126" s="62" t="s">
        <v>256</v>
      </c>
      <c r="AG126" s="62" t="s">
        <v>256</v>
      </c>
      <c r="AH126" s="62" t="s">
        <v>256</v>
      </c>
      <c r="AI126" s="327" t="s">
        <v>256</v>
      </c>
      <c r="AJ126" s="327" t="s">
        <v>248</v>
      </c>
      <c r="AK126" s="327" t="s">
        <v>259</v>
      </c>
      <c r="AL126" s="327" t="s">
        <v>259</v>
      </c>
      <c r="AM126" s="327" t="s">
        <v>251</v>
      </c>
      <c r="AN126" s="327" t="s">
        <v>256</v>
      </c>
      <c r="AO126" s="327" t="s">
        <v>259</v>
      </c>
      <c r="AP126" s="62" t="s">
        <v>251</v>
      </c>
      <c r="AQ126" s="62" t="s">
        <v>256</v>
      </c>
      <c r="AR126" s="62" t="s">
        <v>256</v>
      </c>
      <c r="AS126" s="62" t="s">
        <v>285</v>
      </c>
      <c r="AT126" s="62" t="s">
        <v>259</v>
      </c>
      <c r="AU126" s="327" t="s">
        <v>284</v>
      </c>
      <c r="AV126" s="327" t="s">
        <v>259</v>
      </c>
      <c r="AW126" s="62" t="s">
        <v>256</v>
      </c>
      <c r="AX126" s="62" t="s">
        <v>256</v>
      </c>
      <c r="AY126" s="62" t="s">
        <v>256</v>
      </c>
      <c r="AZ126" s="62" t="s">
        <v>256</v>
      </c>
      <c r="BA126" s="62" t="s">
        <v>256</v>
      </c>
      <c r="BB126" s="62" t="s">
        <v>259</v>
      </c>
      <c r="BC126" s="62" t="s">
        <v>286</v>
      </c>
      <c r="BD126" s="62" t="s">
        <v>248</v>
      </c>
      <c r="BE126" s="62" t="s">
        <v>259</v>
      </c>
      <c r="BF126" s="62" t="s">
        <v>248</v>
      </c>
      <c r="BG126" s="327">
        <v>5.97</v>
      </c>
      <c r="BH126" s="327" t="s">
        <v>256</v>
      </c>
      <c r="BI126" s="327" t="s">
        <v>256</v>
      </c>
      <c r="BJ126" s="62" t="s">
        <v>256</v>
      </c>
      <c r="BK126" s="327" t="s">
        <v>256</v>
      </c>
      <c r="BL126" s="327" t="s">
        <v>256</v>
      </c>
      <c r="BM126" s="327" t="s">
        <v>259</v>
      </c>
      <c r="BN126" s="62" t="s">
        <v>256</v>
      </c>
      <c r="BO126" s="62" t="s">
        <v>259</v>
      </c>
      <c r="BP126" s="62" t="s">
        <v>284</v>
      </c>
      <c r="BQ126" s="62" t="s">
        <v>256</v>
      </c>
      <c r="BR126" s="327">
        <v>3.02</v>
      </c>
      <c r="BS126" s="327">
        <v>3.59</v>
      </c>
      <c r="BT126" s="327" t="s">
        <v>284</v>
      </c>
      <c r="BU126" s="327">
        <v>6.68</v>
      </c>
      <c r="BV126" s="327" t="s">
        <v>248</v>
      </c>
      <c r="BW126" s="62" t="s">
        <v>285</v>
      </c>
      <c r="BX126" s="62" t="s">
        <v>287</v>
      </c>
      <c r="BY126" s="62" t="s">
        <v>259</v>
      </c>
      <c r="BZ126" s="62" t="s">
        <v>259</v>
      </c>
      <c r="CA126" s="62">
        <v>2.8</v>
      </c>
      <c r="CB126" s="62" t="s">
        <v>254</v>
      </c>
      <c r="CC126" s="62">
        <v>77.2</v>
      </c>
      <c r="CD126" s="62" t="s">
        <v>230</v>
      </c>
      <c r="CE126" s="62" t="s">
        <v>254</v>
      </c>
      <c r="CF126" s="62">
        <v>4.2</v>
      </c>
      <c r="CG126" s="62">
        <v>7.9</v>
      </c>
      <c r="CH126" s="62">
        <v>315</v>
      </c>
      <c r="CI126" s="62">
        <v>93</v>
      </c>
      <c r="CJ126" s="62">
        <v>0.23</v>
      </c>
      <c r="CK126" s="62">
        <v>29.7</v>
      </c>
      <c r="CL126" s="62">
        <v>23</v>
      </c>
      <c r="CM126" s="62">
        <v>0.14000000000000001</v>
      </c>
      <c r="CN126" s="62" t="s">
        <v>288</v>
      </c>
      <c r="CO126" s="62" t="s">
        <v>259</v>
      </c>
      <c r="CP126" s="62">
        <v>0.8</v>
      </c>
      <c r="CQ126" s="62" t="s">
        <v>254</v>
      </c>
      <c r="CR126" s="62" t="s">
        <v>254</v>
      </c>
      <c r="CS126" s="62">
        <v>6.8</v>
      </c>
      <c r="CT126" s="62">
        <v>11</v>
      </c>
      <c r="CU126" s="62">
        <v>0.12</v>
      </c>
      <c r="CV126" s="62">
        <v>140</v>
      </c>
      <c r="CW126" s="62">
        <v>0.74</v>
      </c>
      <c r="CX126" s="62">
        <v>1</v>
      </c>
      <c r="CY126" s="62">
        <v>0.43</v>
      </c>
      <c r="CZ126" s="62">
        <v>8.06</v>
      </c>
      <c r="DA126" s="62">
        <v>1.6</v>
      </c>
      <c r="DB126" s="62">
        <v>1300</v>
      </c>
      <c r="DC126" s="62">
        <v>230</v>
      </c>
      <c r="DD126" s="62">
        <v>20.9</v>
      </c>
      <c r="DE126" s="62">
        <v>660</v>
      </c>
      <c r="DF126" s="62" t="s">
        <v>289</v>
      </c>
      <c r="DG126" s="62">
        <v>1.1000000000000001</v>
      </c>
      <c r="DH126" s="62">
        <v>1.8</v>
      </c>
      <c r="DI126" s="62">
        <v>8800</v>
      </c>
      <c r="DJ126" s="62" t="s">
        <v>408</v>
      </c>
      <c r="DK126" s="62">
        <v>4200</v>
      </c>
      <c r="DL126" s="62" t="s">
        <v>409</v>
      </c>
      <c r="DM126" s="62">
        <v>8.5299999999999994</v>
      </c>
      <c r="DN126" s="328">
        <v>8.2100000000000009</v>
      </c>
      <c r="DO126" s="328">
        <v>1099</v>
      </c>
      <c r="DP126" s="328">
        <v>22.58</v>
      </c>
      <c r="DQ126" s="328">
        <v>4.12</v>
      </c>
    </row>
    <row r="127" spans="1:121" hidden="1" x14ac:dyDescent="0.25">
      <c r="A127" s="62" t="s">
        <v>349</v>
      </c>
      <c r="B127" s="56" t="str">
        <f>VLOOKUP(Table3[[#This Row],[Station]], StationName, 2, FALSE)</f>
        <v>L02-541-9 (L02P02)</v>
      </c>
      <c r="C127" s="362">
        <v>1914006</v>
      </c>
      <c r="D127" s="325">
        <v>44440.501388888886</v>
      </c>
      <c r="E127" s="326" t="s">
        <v>293</v>
      </c>
      <c r="F127" s="327" t="s">
        <v>294</v>
      </c>
      <c r="G127" s="327" t="s">
        <v>294</v>
      </c>
      <c r="H127" s="327" t="s">
        <v>294</v>
      </c>
      <c r="I127" s="327" t="s">
        <v>294</v>
      </c>
      <c r="J127" s="327" t="s">
        <v>294</v>
      </c>
      <c r="K127" s="327" t="s">
        <v>294</v>
      </c>
      <c r="L127" s="327" t="s">
        <v>294</v>
      </c>
      <c r="M127" s="327" t="s">
        <v>294</v>
      </c>
      <c r="N127" s="327" t="s">
        <v>294</v>
      </c>
      <c r="O127" s="327" t="s">
        <v>294</v>
      </c>
      <c r="P127" s="62" t="s">
        <v>294</v>
      </c>
      <c r="Q127" s="62" t="s">
        <v>294</v>
      </c>
      <c r="R127" s="62" t="s">
        <v>294</v>
      </c>
      <c r="S127" s="327" t="s">
        <v>294</v>
      </c>
      <c r="T127" s="327" t="s">
        <v>294</v>
      </c>
      <c r="U127" s="327" t="s">
        <v>294</v>
      </c>
      <c r="V127" s="327" t="s">
        <v>294</v>
      </c>
      <c r="W127" s="327" t="s">
        <v>294</v>
      </c>
      <c r="X127" s="327" t="s">
        <v>294</v>
      </c>
      <c r="Y127" s="327" t="s">
        <v>294</v>
      </c>
      <c r="Z127" s="327" t="s">
        <v>294</v>
      </c>
      <c r="AA127" s="327" t="s">
        <v>294</v>
      </c>
      <c r="AB127" s="327" t="s">
        <v>294</v>
      </c>
      <c r="AC127" s="327" t="s">
        <v>294</v>
      </c>
      <c r="AD127" s="327" t="s">
        <v>294</v>
      </c>
      <c r="AE127" s="327" t="s">
        <v>294</v>
      </c>
      <c r="AF127" s="62" t="s">
        <v>294</v>
      </c>
      <c r="AG127" s="62" t="s">
        <v>294</v>
      </c>
      <c r="AH127" s="62" t="s">
        <v>294</v>
      </c>
      <c r="AI127" s="327" t="s">
        <v>294</v>
      </c>
      <c r="AJ127" s="327" t="s">
        <v>294</v>
      </c>
      <c r="AK127" s="327" t="s">
        <v>294</v>
      </c>
      <c r="AL127" s="327" t="s">
        <v>294</v>
      </c>
      <c r="AM127" s="327" t="s">
        <v>294</v>
      </c>
      <c r="AN127" s="327" t="s">
        <v>294</v>
      </c>
      <c r="AO127" s="327" t="s">
        <v>294</v>
      </c>
      <c r="AP127" s="62" t="s">
        <v>294</v>
      </c>
      <c r="AQ127" s="62" t="s">
        <v>294</v>
      </c>
      <c r="AR127" s="62" t="s">
        <v>294</v>
      </c>
      <c r="AS127" s="62" t="s">
        <v>294</v>
      </c>
      <c r="AT127" s="62" t="s">
        <v>294</v>
      </c>
      <c r="AU127" s="327" t="s">
        <v>294</v>
      </c>
      <c r="AV127" s="327" t="s">
        <v>294</v>
      </c>
      <c r="AW127" s="62" t="s">
        <v>294</v>
      </c>
      <c r="AX127" s="62" t="s">
        <v>294</v>
      </c>
      <c r="AY127" s="62" t="s">
        <v>294</v>
      </c>
      <c r="AZ127" s="62" t="s">
        <v>294</v>
      </c>
      <c r="BA127" s="62" t="s">
        <v>294</v>
      </c>
      <c r="BB127" s="62" t="s">
        <v>294</v>
      </c>
      <c r="BC127" s="62" t="s">
        <v>294</v>
      </c>
      <c r="BD127" s="62" t="s">
        <v>294</v>
      </c>
      <c r="BE127" s="62" t="s">
        <v>294</v>
      </c>
      <c r="BF127" s="62" t="s">
        <v>294</v>
      </c>
      <c r="BG127" s="327" t="s">
        <v>294</v>
      </c>
      <c r="BH127" s="327" t="s">
        <v>294</v>
      </c>
      <c r="BI127" s="327" t="s">
        <v>294</v>
      </c>
      <c r="BJ127" s="62" t="s">
        <v>294</v>
      </c>
      <c r="BK127" s="327" t="s">
        <v>294</v>
      </c>
      <c r="BL127" s="327" t="s">
        <v>294</v>
      </c>
      <c r="BM127" s="327" t="s">
        <v>294</v>
      </c>
      <c r="BN127" s="62" t="s">
        <v>294</v>
      </c>
      <c r="BO127" s="62" t="s">
        <v>294</v>
      </c>
      <c r="BP127" s="62" t="s">
        <v>294</v>
      </c>
      <c r="BQ127" s="62" t="s">
        <v>294</v>
      </c>
      <c r="BR127" s="327" t="s">
        <v>294</v>
      </c>
      <c r="BS127" s="327" t="s">
        <v>294</v>
      </c>
      <c r="BT127" s="327" t="s">
        <v>294</v>
      </c>
      <c r="BU127" s="327" t="s">
        <v>294</v>
      </c>
      <c r="BV127" s="327" t="s">
        <v>294</v>
      </c>
      <c r="BW127" s="62" t="s">
        <v>294</v>
      </c>
      <c r="BX127" s="62" t="s">
        <v>294</v>
      </c>
      <c r="BY127" s="62" t="s">
        <v>294</v>
      </c>
      <c r="BZ127" s="62" t="s">
        <v>294</v>
      </c>
      <c r="CA127" s="62">
        <v>2.7</v>
      </c>
      <c r="CB127" s="62" t="s">
        <v>254</v>
      </c>
      <c r="CC127" s="62" t="s">
        <v>294</v>
      </c>
      <c r="CD127" s="62" t="s">
        <v>230</v>
      </c>
      <c r="CE127" s="62" t="s">
        <v>254</v>
      </c>
      <c r="CF127" s="62">
        <v>2.6</v>
      </c>
      <c r="CG127" s="62" t="s">
        <v>294</v>
      </c>
      <c r="CH127" s="62" t="s">
        <v>294</v>
      </c>
      <c r="CI127" s="62">
        <v>42</v>
      </c>
      <c r="CJ127" s="62" t="s">
        <v>254</v>
      </c>
      <c r="CK127" s="62" t="s">
        <v>294</v>
      </c>
      <c r="CL127" s="62">
        <v>22</v>
      </c>
      <c r="CM127" s="62" t="s">
        <v>294</v>
      </c>
      <c r="CN127" s="62" t="s">
        <v>288</v>
      </c>
      <c r="CO127" s="62" t="s">
        <v>259</v>
      </c>
      <c r="CP127" s="62">
        <v>0.86</v>
      </c>
      <c r="CQ127" s="62" t="s">
        <v>254</v>
      </c>
      <c r="CR127" s="62" t="s">
        <v>254</v>
      </c>
      <c r="CS127" s="62" t="s">
        <v>294</v>
      </c>
      <c r="CT127" s="62" t="s">
        <v>284</v>
      </c>
      <c r="CU127" s="62" t="s">
        <v>294</v>
      </c>
      <c r="CV127" s="62" t="s">
        <v>294</v>
      </c>
      <c r="CW127" s="62" t="s">
        <v>294</v>
      </c>
      <c r="CX127" s="62" t="s">
        <v>294</v>
      </c>
      <c r="CY127" s="62" t="s">
        <v>294</v>
      </c>
      <c r="CZ127" s="62" t="s">
        <v>294</v>
      </c>
      <c r="DA127" s="62" t="s">
        <v>294</v>
      </c>
      <c r="DB127" s="62" t="s">
        <v>294</v>
      </c>
      <c r="DC127" s="62" t="s">
        <v>294</v>
      </c>
      <c r="DD127" s="62" t="s">
        <v>294</v>
      </c>
      <c r="DE127" s="62" t="s">
        <v>294</v>
      </c>
      <c r="DF127" s="62" t="s">
        <v>294</v>
      </c>
      <c r="DG127" s="62" t="s">
        <v>294</v>
      </c>
      <c r="DH127" s="62" t="s">
        <v>294</v>
      </c>
      <c r="DI127" s="62" t="s">
        <v>294</v>
      </c>
      <c r="DJ127" s="62" t="s">
        <v>294</v>
      </c>
      <c r="DK127" s="62" t="s">
        <v>294</v>
      </c>
      <c r="DL127" s="62" t="s">
        <v>294</v>
      </c>
      <c r="DM127" s="62" t="s">
        <v>294</v>
      </c>
      <c r="DN127" s="328" t="s">
        <v>294</v>
      </c>
      <c r="DO127" s="328" t="s">
        <v>294</v>
      </c>
      <c r="DP127" s="328" t="s">
        <v>294</v>
      </c>
      <c r="DQ127" s="328" t="s">
        <v>294</v>
      </c>
    </row>
    <row r="128" spans="1:121" x14ac:dyDescent="0.25">
      <c r="A128" s="62" t="s">
        <v>140</v>
      </c>
      <c r="B128" s="56" t="str">
        <f>VLOOKUP(Table3[[#This Row],[Station]], StationName, 2, FALSE)</f>
        <v xml:space="preserve">J01-9046-2 </v>
      </c>
      <c r="C128" s="362">
        <v>1920002</v>
      </c>
      <c r="D128" s="325">
        <v>44446.321527777778</v>
      </c>
      <c r="E128" s="326" t="s">
        <v>283</v>
      </c>
      <c r="F128" s="327">
        <v>86</v>
      </c>
      <c r="G128" s="327">
        <v>101</v>
      </c>
      <c r="H128" s="327">
        <v>68</v>
      </c>
      <c r="I128" s="327">
        <v>78</v>
      </c>
      <c r="J128" s="327">
        <v>67</v>
      </c>
      <c r="K128" s="327">
        <v>70</v>
      </c>
      <c r="L128" s="327">
        <v>91</v>
      </c>
      <c r="M128" s="327">
        <v>82</v>
      </c>
      <c r="N128" s="327">
        <v>63</v>
      </c>
      <c r="O128" s="327" t="s">
        <v>259</v>
      </c>
      <c r="P128" s="62" t="s">
        <v>259</v>
      </c>
      <c r="Q128" s="62" t="s">
        <v>259</v>
      </c>
      <c r="R128" s="62" t="s">
        <v>259</v>
      </c>
      <c r="S128" s="327" t="s">
        <v>259</v>
      </c>
      <c r="T128" s="327" t="s">
        <v>259</v>
      </c>
      <c r="U128" s="327">
        <v>2.14</v>
      </c>
      <c r="V128" s="327">
        <v>1.67</v>
      </c>
      <c r="W128" s="327" t="s">
        <v>256</v>
      </c>
      <c r="X128" s="327" t="s">
        <v>256</v>
      </c>
      <c r="Y128" s="327" t="s">
        <v>284</v>
      </c>
      <c r="Z128" s="327">
        <v>5.0199999999999996</v>
      </c>
      <c r="AA128" s="327">
        <v>4.28</v>
      </c>
      <c r="AB128" s="327" t="s">
        <v>256</v>
      </c>
      <c r="AC128" s="327">
        <v>15.5</v>
      </c>
      <c r="AD128" s="327" t="s">
        <v>256</v>
      </c>
      <c r="AE128" s="327" t="s">
        <v>256</v>
      </c>
      <c r="AF128" s="62" t="s">
        <v>256</v>
      </c>
      <c r="AG128" s="62" t="s">
        <v>256</v>
      </c>
      <c r="AH128" s="62" t="s">
        <v>256</v>
      </c>
      <c r="AI128" s="327">
        <v>2.15</v>
      </c>
      <c r="AJ128" s="327" t="s">
        <v>248</v>
      </c>
      <c r="AK128" s="327">
        <v>0.753</v>
      </c>
      <c r="AL128" s="327" t="s">
        <v>259</v>
      </c>
      <c r="AM128" s="327" t="s">
        <v>251</v>
      </c>
      <c r="AN128" s="327">
        <v>10.9</v>
      </c>
      <c r="AO128" s="327" t="s">
        <v>259</v>
      </c>
      <c r="AP128" s="62" t="s">
        <v>251</v>
      </c>
      <c r="AQ128" s="62" t="s">
        <v>256</v>
      </c>
      <c r="AR128" s="62">
        <v>1.6</v>
      </c>
      <c r="AS128" s="62" t="s">
        <v>285</v>
      </c>
      <c r="AT128" s="62" t="s">
        <v>259</v>
      </c>
      <c r="AU128" s="327" t="s">
        <v>284</v>
      </c>
      <c r="AV128" s="327" t="s">
        <v>259</v>
      </c>
      <c r="AW128" s="62" t="s">
        <v>256</v>
      </c>
      <c r="AX128" s="62" t="s">
        <v>256</v>
      </c>
      <c r="AY128" s="62" t="s">
        <v>256</v>
      </c>
      <c r="AZ128" s="62" t="s">
        <v>256</v>
      </c>
      <c r="BA128" s="62" t="s">
        <v>256</v>
      </c>
      <c r="BB128" s="62" t="s">
        <v>259</v>
      </c>
      <c r="BC128" s="62" t="s">
        <v>286</v>
      </c>
      <c r="BD128" s="62" t="s">
        <v>248</v>
      </c>
      <c r="BE128" s="62" t="s">
        <v>259</v>
      </c>
      <c r="BF128" s="62" t="s">
        <v>248</v>
      </c>
      <c r="BG128" s="327">
        <v>27.3</v>
      </c>
      <c r="BH128" s="327">
        <v>1.35</v>
      </c>
      <c r="BI128" s="327" t="s">
        <v>256</v>
      </c>
      <c r="BJ128" s="62" t="s">
        <v>256</v>
      </c>
      <c r="BK128" s="327">
        <v>12.5</v>
      </c>
      <c r="BL128" s="327" t="s">
        <v>256</v>
      </c>
      <c r="BM128" s="327" t="s">
        <v>259</v>
      </c>
      <c r="BN128" s="62" t="s">
        <v>256</v>
      </c>
      <c r="BO128" s="62" t="s">
        <v>259</v>
      </c>
      <c r="BP128" s="62" t="s">
        <v>284</v>
      </c>
      <c r="BQ128" s="62" t="s">
        <v>256</v>
      </c>
      <c r="BR128" s="327">
        <v>9.11</v>
      </c>
      <c r="BS128" s="327">
        <v>9.51</v>
      </c>
      <c r="BT128" s="327" t="s">
        <v>284</v>
      </c>
      <c r="BU128" s="327">
        <v>49.2</v>
      </c>
      <c r="BV128" s="327" t="s">
        <v>248</v>
      </c>
      <c r="BW128" s="62" t="s">
        <v>285</v>
      </c>
      <c r="BX128" s="62" t="s">
        <v>287</v>
      </c>
      <c r="BY128" s="62">
        <v>1</v>
      </c>
      <c r="BZ128" s="62" t="s">
        <v>259</v>
      </c>
      <c r="CA128" s="62">
        <v>2.8</v>
      </c>
      <c r="CB128" s="62">
        <v>0.24</v>
      </c>
      <c r="CC128" s="62">
        <v>73.400000000000006</v>
      </c>
      <c r="CD128" s="62">
        <v>2.8000000000000001E-2</v>
      </c>
      <c r="CE128" s="62">
        <v>2.9</v>
      </c>
      <c r="CF128" s="62">
        <v>22</v>
      </c>
      <c r="CG128" s="62">
        <v>9.8000000000000007</v>
      </c>
      <c r="CH128" s="62">
        <v>297</v>
      </c>
      <c r="CI128" s="62">
        <v>1500</v>
      </c>
      <c r="CJ128" s="62">
        <v>2.4</v>
      </c>
      <c r="CK128" s="62">
        <v>27.5</v>
      </c>
      <c r="CL128" s="62">
        <v>34</v>
      </c>
      <c r="CM128" s="62">
        <v>7.5999999999999998E-2</v>
      </c>
      <c r="CN128" s="62">
        <v>5.1999999999999998E-2</v>
      </c>
      <c r="CO128" s="62">
        <v>3.8</v>
      </c>
      <c r="CP128" s="62">
        <v>1.4</v>
      </c>
      <c r="CQ128" s="62" t="s">
        <v>254</v>
      </c>
      <c r="CR128" s="62" t="s">
        <v>254</v>
      </c>
      <c r="CS128" s="62">
        <v>12</v>
      </c>
      <c r="CT128" s="62">
        <v>66</v>
      </c>
      <c r="CU128" s="62" t="s">
        <v>153</v>
      </c>
      <c r="CV128" s="62">
        <v>140</v>
      </c>
      <c r="CW128" s="62">
        <v>0.28999999999999998</v>
      </c>
      <c r="CX128" s="62">
        <v>3.7</v>
      </c>
      <c r="CY128" s="62">
        <v>0.45</v>
      </c>
      <c r="CZ128" s="62">
        <v>7.13</v>
      </c>
      <c r="DA128" s="62">
        <v>1.5</v>
      </c>
      <c r="DB128" s="62">
        <v>1300</v>
      </c>
      <c r="DC128" s="62">
        <v>270</v>
      </c>
      <c r="DD128" s="62">
        <v>24</v>
      </c>
      <c r="DE128" s="62">
        <v>760</v>
      </c>
      <c r="DF128" s="62">
        <v>42</v>
      </c>
      <c r="DG128" s="62">
        <v>100</v>
      </c>
      <c r="DH128" s="62">
        <v>12</v>
      </c>
      <c r="DI128" s="62">
        <v>30000</v>
      </c>
      <c r="DJ128" s="62" t="s">
        <v>410</v>
      </c>
      <c r="DK128" s="62" t="s">
        <v>411</v>
      </c>
      <c r="DL128" s="62" t="s">
        <v>412</v>
      </c>
      <c r="DM128" s="62">
        <v>7.22</v>
      </c>
      <c r="DN128" s="328">
        <v>8.34</v>
      </c>
      <c r="DO128" s="328">
        <v>1079</v>
      </c>
      <c r="DP128" s="328">
        <v>22.25</v>
      </c>
      <c r="DQ128" s="328">
        <v>23.9</v>
      </c>
    </row>
    <row r="129" spans="1:121" hidden="1" x14ac:dyDescent="0.25">
      <c r="A129" s="62" t="s">
        <v>140</v>
      </c>
      <c r="B129" s="56" t="str">
        <f>VLOOKUP(Table3[[#This Row],[Station]], StationName, 2, FALSE)</f>
        <v xml:space="preserve">J01-9046-2 </v>
      </c>
      <c r="C129" s="362">
        <v>1920007</v>
      </c>
      <c r="D129" s="325">
        <v>44446.321527777778</v>
      </c>
      <c r="E129" s="326" t="s">
        <v>293</v>
      </c>
      <c r="F129" s="327" t="s">
        <v>294</v>
      </c>
      <c r="G129" s="327" t="s">
        <v>294</v>
      </c>
      <c r="H129" s="327" t="s">
        <v>294</v>
      </c>
      <c r="I129" s="327" t="s">
        <v>294</v>
      </c>
      <c r="J129" s="327" t="s">
        <v>294</v>
      </c>
      <c r="K129" s="327" t="s">
        <v>294</v>
      </c>
      <c r="L129" s="327" t="s">
        <v>294</v>
      </c>
      <c r="M129" s="327" t="s">
        <v>294</v>
      </c>
      <c r="N129" s="327" t="s">
        <v>294</v>
      </c>
      <c r="O129" s="327" t="s">
        <v>294</v>
      </c>
      <c r="P129" s="62" t="s">
        <v>294</v>
      </c>
      <c r="Q129" s="62" t="s">
        <v>294</v>
      </c>
      <c r="R129" s="62" t="s">
        <v>294</v>
      </c>
      <c r="S129" s="327" t="s">
        <v>294</v>
      </c>
      <c r="T129" s="327" t="s">
        <v>294</v>
      </c>
      <c r="U129" s="327" t="s">
        <v>294</v>
      </c>
      <c r="V129" s="327" t="s">
        <v>294</v>
      </c>
      <c r="W129" s="327" t="s">
        <v>294</v>
      </c>
      <c r="X129" s="327" t="s">
        <v>294</v>
      </c>
      <c r="Y129" s="327" t="s">
        <v>294</v>
      </c>
      <c r="Z129" s="327" t="s">
        <v>294</v>
      </c>
      <c r="AA129" s="327" t="s">
        <v>294</v>
      </c>
      <c r="AB129" s="327" t="s">
        <v>294</v>
      </c>
      <c r="AC129" s="327" t="s">
        <v>294</v>
      </c>
      <c r="AD129" s="327" t="s">
        <v>294</v>
      </c>
      <c r="AE129" s="327" t="s">
        <v>294</v>
      </c>
      <c r="AF129" s="62" t="s">
        <v>294</v>
      </c>
      <c r="AG129" s="62" t="s">
        <v>294</v>
      </c>
      <c r="AH129" s="62" t="s">
        <v>294</v>
      </c>
      <c r="AI129" s="327" t="s">
        <v>294</v>
      </c>
      <c r="AJ129" s="327" t="s">
        <v>294</v>
      </c>
      <c r="AK129" s="327" t="s">
        <v>294</v>
      </c>
      <c r="AL129" s="327" t="s">
        <v>294</v>
      </c>
      <c r="AM129" s="327" t="s">
        <v>294</v>
      </c>
      <c r="AN129" s="327" t="s">
        <v>294</v>
      </c>
      <c r="AO129" s="327" t="s">
        <v>294</v>
      </c>
      <c r="AP129" s="62" t="s">
        <v>294</v>
      </c>
      <c r="AQ129" s="62" t="s">
        <v>294</v>
      </c>
      <c r="AR129" s="62" t="s">
        <v>294</v>
      </c>
      <c r="AS129" s="62" t="s">
        <v>294</v>
      </c>
      <c r="AT129" s="62" t="s">
        <v>294</v>
      </c>
      <c r="AU129" s="327" t="s">
        <v>294</v>
      </c>
      <c r="AV129" s="327" t="s">
        <v>294</v>
      </c>
      <c r="AW129" s="62" t="s">
        <v>294</v>
      </c>
      <c r="AX129" s="62" t="s">
        <v>294</v>
      </c>
      <c r="AY129" s="62" t="s">
        <v>294</v>
      </c>
      <c r="AZ129" s="62" t="s">
        <v>294</v>
      </c>
      <c r="BA129" s="62" t="s">
        <v>294</v>
      </c>
      <c r="BB129" s="62" t="s">
        <v>294</v>
      </c>
      <c r="BC129" s="62" t="s">
        <v>294</v>
      </c>
      <c r="BD129" s="62" t="s">
        <v>294</v>
      </c>
      <c r="BE129" s="62" t="s">
        <v>294</v>
      </c>
      <c r="BF129" s="62" t="s">
        <v>294</v>
      </c>
      <c r="BG129" s="327" t="s">
        <v>294</v>
      </c>
      <c r="BH129" s="327" t="s">
        <v>294</v>
      </c>
      <c r="BI129" s="327" t="s">
        <v>294</v>
      </c>
      <c r="BJ129" s="62" t="s">
        <v>294</v>
      </c>
      <c r="BK129" s="327" t="s">
        <v>294</v>
      </c>
      <c r="BL129" s="327" t="s">
        <v>294</v>
      </c>
      <c r="BM129" s="327" t="s">
        <v>294</v>
      </c>
      <c r="BN129" s="62" t="s">
        <v>294</v>
      </c>
      <c r="BO129" s="62" t="s">
        <v>294</v>
      </c>
      <c r="BP129" s="62" t="s">
        <v>294</v>
      </c>
      <c r="BQ129" s="62" t="s">
        <v>294</v>
      </c>
      <c r="BR129" s="327" t="s">
        <v>294</v>
      </c>
      <c r="BS129" s="327" t="s">
        <v>294</v>
      </c>
      <c r="BT129" s="327" t="s">
        <v>294</v>
      </c>
      <c r="BU129" s="327" t="s">
        <v>294</v>
      </c>
      <c r="BV129" s="327" t="s">
        <v>294</v>
      </c>
      <c r="BW129" s="62" t="s">
        <v>294</v>
      </c>
      <c r="BX129" s="62" t="s">
        <v>294</v>
      </c>
      <c r="BY129" s="62" t="s">
        <v>294</v>
      </c>
      <c r="BZ129" s="62" t="s">
        <v>294</v>
      </c>
      <c r="CA129" s="62">
        <v>2.1</v>
      </c>
      <c r="CB129" s="62" t="s">
        <v>254</v>
      </c>
      <c r="CC129" s="62" t="s">
        <v>294</v>
      </c>
      <c r="CD129" s="62" t="s">
        <v>230</v>
      </c>
      <c r="CE129" s="62" t="s">
        <v>254</v>
      </c>
      <c r="CF129" s="62">
        <v>3.7</v>
      </c>
      <c r="CG129" s="62" t="s">
        <v>294</v>
      </c>
      <c r="CH129" s="62" t="s">
        <v>294</v>
      </c>
      <c r="CI129" s="62">
        <v>49</v>
      </c>
      <c r="CJ129" s="62" t="s">
        <v>254</v>
      </c>
      <c r="CK129" s="62" t="s">
        <v>294</v>
      </c>
      <c r="CL129" s="62">
        <v>12</v>
      </c>
      <c r="CM129" s="62" t="s">
        <v>294</v>
      </c>
      <c r="CN129" s="62" t="s">
        <v>288</v>
      </c>
      <c r="CO129" s="62" t="s">
        <v>259</v>
      </c>
      <c r="CP129" s="62">
        <v>1.3</v>
      </c>
      <c r="CQ129" s="62" t="s">
        <v>254</v>
      </c>
      <c r="CR129" s="62" t="s">
        <v>254</v>
      </c>
      <c r="CS129" s="62" t="s">
        <v>294</v>
      </c>
      <c r="CT129" s="62" t="s">
        <v>284</v>
      </c>
      <c r="CU129" s="62" t="s">
        <v>294</v>
      </c>
      <c r="CV129" s="62" t="s">
        <v>294</v>
      </c>
      <c r="CW129" s="62" t="s">
        <v>294</v>
      </c>
      <c r="CX129" s="62" t="s">
        <v>294</v>
      </c>
      <c r="CY129" s="62" t="s">
        <v>294</v>
      </c>
      <c r="CZ129" s="62" t="s">
        <v>294</v>
      </c>
      <c r="DA129" s="62" t="s">
        <v>294</v>
      </c>
      <c r="DB129" s="62" t="s">
        <v>294</v>
      </c>
      <c r="DC129" s="62" t="s">
        <v>294</v>
      </c>
      <c r="DD129" s="62" t="s">
        <v>294</v>
      </c>
      <c r="DE129" s="62" t="s">
        <v>294</v>
      </c>
      <c r="DF129" s="62" t="s">
        <v>294</v>
      </c>
      <c r="DG129" s="62" t="s">
        <v>294</v>
      </c>
      <c r="DH129" s="62" t="s">
        <v>294</v>
      </c>
      <c r="DI129" s="62" t="s">
        <v>294</v>
      </c>
      <c r="DJ129" s="62" t="s">
        <v>294</v>
      </c>
      <c r="DK129" s="62" t="s">
        <v>294</v>
      </c>
      <c r="DL129" s="62" t="s">
        <v>294</v>
      </c>
      <c r="DM129" s="62" t="s">
        <v>294</v>
      </c>
      <c r="DN129" s="328" t="s">
        <v>294</v>
      </c>
      <c r="DO129" s="328" t="s">
        <v>294</v>
      </c>
      <c r="DP129" s="328" t="s">
        <v>294</v>
      </c>
      <c r="DQ129" s="328" t="s">
        <v>294</v>
      </c>
    </row>
    <row r="130" spans="1:121" x14ac:dyDescent="0.25">
      <c r="A130" s="62" t="s">
        <v>142</v>
      </c>
      <c r="B130" s="56" t="str">
        <f>VLOOKUP(Table3[[#This Row],[Station]], StationName, 2, FALSE)</f>
        <v>J01-9785-1</v>
      </c>
      <c r="C130" s="362">
        <v>1920005</v>
      </c>
      <c r="D130" s="325">
        <v>44446.37222222222</v>
      </c>
      <c r="E130" s="326" t="s">
        <v>283</v>
      </c>
      <c r="F130" s="327">
        <v>88</v>
      </c>
      <c r="G130" s="327">
        <v>106</v>
      </c>
      <c r="H130" s="327">
        <v>72</v>
      </c>
      <c r="I130" s="327">
        <v>79</v>
      </c>
      <c r="J130" s="327">
        <v>69</v>
      </c>
      <c r="K130" s="327">
        <v>65</v>
      </c>
      <c r="L130" s="327">
        <v>82</v>
      </c>
      <c r="M130" s="327">
        <v>89</v>
      </c>
      <c r="N130" s="327">
        <v>51</v>
      </c>
      <c r="O130" s="327" t="s">
        <v>259</v>
      </c>
      <c r="P130" s="62" t="s">
        <v>259</v>
      </c>
      <c r="Q130" s="62" t="s">
        <v>259</v>
      </c>
      <c r="R130" s="62" t="s">
        <v>259</v>
      </c>
      <c r="S130" s="327" t="s">
        <v>259</v>
      </c>
      <c r="T130" s="327" t="s">
        <v>259</v>
      </c>
      <c r="U130" s="327">
        <v>4.6500000000000004</v>
      </c>
      <c r="V130" s="327" t="s">
        <v>256</v>
      </c>
      <c r="W130" s="327" t="s">
        <v>256</v>
      </c>
      <c r="X130" s="327" t="s">
        <v>256</v>
      </c>
      <c r="Y130" s="327" t="s">
        <v>284</v>
      </c>
      <c r="Z130" s="327">
        <v>3.32</v>
      </c>
      <c r="AA130" s="327">
        <v>1.1200000000000001</v>
      </c>
      <c r="AB130" s="327" t="s">
        <v>256</v>
      </c>
      <c r="AC130" s="327">
        <v>3.06</v>
      </c>
      <c r="AD130" s="327">
        <v>11.2</v>
      </c>
      <c r="AE130" s="327" t="s">
        <v>256</v>
      </c>
      <c r="AF130" s="62" t="s">
        <v>256</v>
      </c>
      <c r="AG130" s="62" t="s">
        <v>256</v>
      </c>
      <c r="AH130" s="62" t="s">
        <v>256</v>
      </c>
      <c r="AI130" s="327" t="s">
        <v>256</v>
      </c>
      <c r="AJ130" s="327" t="s">
        <v>248</v>
      </c>
      <c r="AK130" s="327" t="s">
        <v>259</v>
      </c>
      <c r="AL130" s="327" t="s">
        <v>259</v>
      </c>
      <c r="AM130" s="327" t="s">
        <v>251</v>
      </c>
      <c r="AN130" s="327">
        <v>2.65</v>
      </c>
      <c r="AO130" s="327" t="s">
        <v>259</v>
      </c>
      <c r="AP130" s="62" t="s">
        <v>251</v>
      </c>
      <c r="AQ130" s="62" t="s">
        <v>256</v>
      </c>
      <c r="AR130" s="62" t="s">
        <v>256</v>
      </c>
      <c r="AS130" s="62" t="s">
        <v>285</v>
      </c>
      <c r="AT130" s="62" t="s">
        <v>259</v>
      </c>
      <c r="AU130" s="327" t="s">
        <v>284</v>
      </c>
      <c r="AV130" s="327" t="s">
        <v>259</v>
      </c>
      <c r="AW130" s="62" t="s">
        <v>256</v>
      </c>
      <c r="AX130" s="62" t="s">
        <v>256</v>
      </c>
      <c r="AY130" s="62" t="s">
        <v>256</v>
      </c>
      <c r="AZ130" s="62" t="s">
        <v>256</v>
      </c>
      <c r="BA130" s="62" t="s">
        <v>256</v>
      </c>
      <c r="BB130" s="62" t="s">
        <v>259</v>
      </c>
      <c r="BC130" s="62" t="s">
        <v>286</v>
      </c>
      <c r="BD130" s="62" t="s">
        <v>248</v>
      </c>
      <c r="BE130" s="62" t="s">
        <v>259</v>
      </c>
      <c r="BF130" s="62" t="s">
        <v>248</v>
      </c>
      <c r="BG130" s="327">
        <v>7.36</v>
      </c>
      <c r="BH130" s="327" t="s">
        <v>256</v>
      </c>
      <c r="BI130" s="327" t="s">
        <v>256</v>
      </c>
      <c r="BJ130" s="62" t="s">
        <v>256</v>
      </c>
      <c r="BK130" s="327" t="s">
        <v>256</v>
      </c>
      <c r="BL130" s="327" t="s">
        <v>256</v>
      </c>
      <c r="BM130" s="327" t="s">
        <v>259</v>
      </c>
      <c r="BN130" s="62" t="s">
        <v>256</v>
      </c>
      <c r="BO130" s="62" t="s">
        <v>259</v>
      </c>
      <c r="BP130" s="62" t="s">
        <v>284</v>
      </c>
      <c r="BQ130" s="62" t="s">
        <v>256</v>
      </c>
      <c r="BR130" s="327">
        <v>3.57</v>
      </c>
      <c r="BS130" s="327">
        <v>1.93</v>
      </c>
      <c r="BT130" s="327" t="s">
        <v>284</v>
      </c>
      <c r="BU130" s="327">
        <v>11.5</v>
      </c>
      <c r="BV130" s="327" t="s">
        <v>248</v>
      </c>
      <c r="BW130" s="62" t="s">
        <v>285</v>
      </c>
      <c r="BX130" s="62" t="s">
        <v>287</v>
      </c>
      <c r="BY130" s="62" t="s">
        <v>259</v>
      </c>
      <c r="BZ130" s="62" t="s">
        <v>259</v>
      </c>
      <c r="CA130" s="62">
        <v>4.5999999999999996</v>
      </c>
      <c r="CB130" s="62" t="s">
        <v>254</v>
      </c>
      <c r="CC130" s="62">
        <v>98.5</v>
      </c>
      <c r="CD130" s="62">
        <v>0.11</v>
      </c>
      <c r="CE130" s="62">
        <v>0.71</v>
      </c>
      <c r="CF130" s="62">
        <v>13</v>
      </c>
      <c r="CG130" s="62">
        <v>15</v>
      </c>
      <c r="CH130" s="62">
        <v>379</v>
      </c>
      <c r="CI130" s="62">
        <v>350</v>
      </c>
      <c r="CJ130" s="62">
        <v>1.2</v>
      </c>
      <c r="CK130" s="62">
        <v>32.4</v>
      </c>
      <c r="CL130" s="62">
        <v>18</v>
      </c>
      <c r="CM130" s="62">
        <v>0.13</v>
      </c>
      <c r="CN130" s="62" t="s">
        <v>288</v>
      </c>
      <c r="CO130" s="62">
        <v>4.5</v>
      </c>
      <c r="CP130" s="62">
        <v>0.83</v>
      </c>
      <c r="CQ130" s="62" t="s">
        <v>254</v>
      </c>
      <c r="CR130" s="62" t="s">
        <v>254</v>
      </c>
      <c r="CS130" s="62">
        <v>15</v>
      </c>
      <c r="CT130" s="62">
        <v>40</v>
      </c>
      <c r="CU130" s="62" t="s">
        <v>153</v>
      </c>
      <c r="CV130" s="62">
        <v>170</v>
      </c>
      <c r="CW130" s="62">
        <v>1.4</v>
      </c>
      <c r="CX130" s="62">
        <v>1.2</v>
      </c>
      <c r="CY130" s="62">
        <v>1.4</v>
      </c>
      <c r="CZ130" s="62">
        <v>8.17</v>
      </c>
      <c r="DA130" s="62">
        <v>4.5999999999999996</v>
      </c>
      <c r="DB130" s="62">
        <v>1600</v>
      </c>
      <c r="DC130" s="62">
        <v>330</v>
      </c>
      <c r="DD130" s="62">
        <v>23.1</v>
      </c>
      <c r="DE130" s="62">
        <v>980</v>
      </c>
      <c r="DF130" s="62" t="s">
        <v>289</v>
      </c>
      <c r="DG130" s="62">
        <v>10</v>
      </c>
      <c r="DH130" s="62">
        <v>5.5</v>
      </c>
      <c r="DI130" s="62">
        <v>29000</v>
      </c>
      <c r="DJ130" s="62">
        <v>38000</v>
      </c>
      <c r="DK130" s="62">
        <v>44000</v>
      </c>
      <c r="DL130" s="62" t="s">
        <v>413</v>
      </c>
      <c r="DM130" s="62">
        <v>8.69</v>
      </c>
      <c r="DN130" s="328">
        <v>8.86</v>
      </c>
      <c r="DO130" s="328">
        <v>1406</v>
      </c>
      <c r="DP130" s="328">
        <v>21.4</v>
      </c>
      <c r="DQ130" s="328">
        <v>5</v>
      </c>
    </row>
    <row r="131" spans="1:121" hidden="1" x14ac:dyDescent="0.25">
      <c r="A131" s="62" t="s">
        <v>142</v>
      </c>
      <c r="B131" s="56" t="str">
        <f>VLOOKUP(Table3[[#This Row],[Station]], StationName, 2, FALSE)</f>
        <v>J01-9785-1</v>
      </c>
      <c r="C131" s="362">
        <v>1920010</v>
      </c>
      <c r="D131" s="325">
        <v>44446.37222222222</v>
      </c>
      <c r="E131" s="326" t="s">
        <v>293</v>
      </c>
      <c r="F131" s="327" t="s">
        <v>294</v>
      </c>
      <c r="G131" s="327" t="s">
        <v>294</v>
      </c>
      <c r="H131" s="327" t="s">
        <v>294</v>
      </c>
      <c r="I131" s="327" t="s">
        <v>294</v>
      </c>
      <c r="J131" s="327" t="s">
        <v>294</v>
      </c>
      <c r="K131" s="327" t="s">
        <v>294</v>
      </c>
      <c r="L131" s="327" t="s">
        <v>294</v>
      </c>
      <c r="M131" s="327" t="s">
        <v>294</v>
      </c>
      <c r="N131" s="327" t="s">
        <v>294</v>
      </c>
      <c r="O131" s="327" t="s">
        <v>294</v>
      </c>
      <c r="P131" s="62" t="s">
        <v>294</v>
      </c>
      <c r="Q131" s="62" t="s">
        <v>294</v>
      </c>
      <c r="R131" s="62" t="s">
        <v>294</v>
      </c>
      <c r="S131" s="327" t="s">
        <v>294</v>
      </c>
      <c r="T131" s="327" t="s">
        <v>294</v>
      </c>
      <c r="U131" s="327" t="s">
        <v>294</v>
      </c>
      <c r="V131" s="327" t="s">
        <v>294</v>
      </c>
      <c r="W131" s="327" t="s">
        <v>294</v>
      </c>
      <c r="X131" s="327" t="s">
        <v>294</v>
      </c>
      <c r="Y131" s="327" t="s">
        <v>294</v>
      </c>
      <c r="Z131" s="327" t="s">
        <v>294</v>
      </c>
      <c r="AA131" s="327" t="s">
        <v>294</v>
      </c>
      <c r="AB131" s="327" t="s">
        <v>294</v>
      </c>
      <c r="AC131" s="327" t="s">
        <v>294</v>
      </c>
      <c r="AD131" s="327" t="s">
        <v>294</v>
      </c>
      <c r="AE131" s="327" t="s">
        <v>294</v>
      </c>
      <c r="AF131" s="62" t="s">
        <v>294</v>
      </c>
      <c r="AG131" s="62" t="s">
        <v>294</v>
      </c>
      <c r="AH131" s="62" t="s">
        <v>294</v>
      </c>
      <c r="AI131" s="327" t="s">
        <v>294</v>
      </c>
      <c r="AJ131" s="327" t="s">
        <v>294</v>
      </c>
      <c r="AK131" s="327" t="s">
        <v>294</v>
      </c>
      <c r="AL131" s="327" t="s">
        <v>294</v>
      </c>
      <c r="AM131" s="327" t="s">
        <v>294</v>
      </c>
      <c r="AN131" s="327" t="s">
        <v>294</v>
      </c>
      <c r="AO131" s="327" t="s">
        <v>294</v>
      </c>
      <c r="AP131" s="62" t="s">
        <v>294</v>
      </c>
      <c r="AQ131" s="62" t="s">
        <v>294</v>
      </c>
      <c r="AR131" s="62" t="s">
        <v>294</v>
      </c>
      <c r="AS131" s="62" t="s">
        <v>294</v>
      </c>
      <c r="AT131" s="62" t="s">
        <v>294</v>
      </c>
      <c r="AU131" s="327" t="s">
        <v>294</v>
      </c>
      <c r="AV131" s="327" t="s">
        <v>294</v>
      </c>
      <c r="AW131" s="62" t="s">
        <v>294</v>
      </c>
      <c r="AX131" s="62" t="s">
        <v>294</v>
      </c>
      <c r="AY131" s="62" t="s">
        <v>294</v>
      </c>
      <c r="AZ131" s="62" t="s">
        <v>294</v>
      </c>
      <c r="BA131" s="62" t="s">
        <v>294</v>
      </c>
      <c r="BB131" s="62" t="s">
        <v>294</v>
      </c>
      <c r="BC131" s="62" t="s">
        <v>294</v>
      </c>
      <c r="BD131" s="62" t="s">
        <v>294</v>
      </c>
      <c r="BE131" s="62" t="s">
        <v>294</v>
      </c>
      <c r="BF131" s="62" t="s">
        <v>294</v>
      </c>
      <c r="BG131" s="327" t="s">
        <v>294</v>
      </c>
      <c r="BH131" s="327" t="s">
        <v>294</v>
      </c>
      <c r="BI131" s="327" t="s">
        <v>294</v>
      </c>
      <c r="BJ131" s="62" t="s">
        <v>294</v>
      </c>
      <c r="BK131" s="327" t="s">
        <v>294</v>
      </c>
      <c r="BL131" s="327" t="s">
        <v>294</v>
      </c>
      <c r="BM131" s="327" t="s">
        <v>294</v>
      </c>
      <c r="BN131" s="62" t="s">
        <v>294</v>
      </c>
      <c r="BO131" s="62" t="s">
        <v>294</v>
      </c>
      <c r="BP131" s="62" t="s">
        <v>294</v>
      </c>
      <c r="BQ131" s="62" t="s">
        <v>294</v>
      </c>
      <c r="BR131" s="327" t="s">
        <v>294</v>
      </c>
      <c r="BS131" s="327" t="s">
        <v>294</v>
      </c>
      <c r="BT131" s="327" t="s">
        <v>294</v>
      </c>
      <c r="BU131" s="327" t="s">
        <v>294</v>
      </c>
      <c r="BV131" s="327" t="s">
        <v>294</v>
      </c>
      <c r="BW131" s="62" t="s">
        <v>294</v>
      </c>
      <c r="BX131" s="62" t="s">
        <v>294</v>
      </c>
      <c r="BY131" s="62" t="s">
        <v>294</v>
      </c>
      <c r="BZ131" s="62" t="s">
        <v>294</v>
      </c>
      <c r="CA131" s="62">
        <v>4.5999999999999996</v>
      </c>
      <c r="CB131" s="62" t="s">
        <v>254</v>
      </c>
      <c r="CC131" s="62" t="s">
        <v>294</v>
      </c>
      <c r="CD131" s="62">
        <v>0.12</v>
      </c>
      <c r="CE131" s="62">
        <v>0.28999999999999998</v>
      </c>
      <c r="CF131" s="62">
        <v>10</v>
      </c>
      <c r="CG131" s="62" t="s">
        <v>294</v>
      </c>
      <c r="CH131" s="62" t="s">
        <v>294</v>
      </c>
      <c r="CI131" s="62">
        <v>43</v>
      </c>
      <c r="CJ131" s="62">
        <v>0.27</v>
      </c>
      <c r="CK131" s="62" t="s">
        <v>294</v>
      </c>
      <c r="CL131" s="62">
        <v>5.3</v>
      </c>
      <c r="CM131" s="62" t="s">
        <v>294</v>
      </c>
      <c r="CN131" s="62" t="s">
        <v>288</v>
      </c>
      <c r="CO131" s="62">
        <v>4.3</v>
      </c>
      <c r="CP131" s="62">
        <v>0.76</v>
      </c>
      <c r="CQ131" s="62" t="s">
        <v>254</v>
      </c>
      <c r="CR131" s="62" t="s">
        <v>254</v>
      </c>
      <c r="CS131" s="62" t="s">
        <v>294</v>
      </c>
      <c r="CT131" s="62">
        <v>16</v>
      </c>
      <c r="CU131" s="62" t="s">
        <v>294</v>
      </c>
      <c r="CV131" s="62" t="s">
        <v>294</v>
      </c>
      <c r="CW131" s="62" t="s">
        <v>294</v>
      </c>
      <c r="CX131" s="62" t="s">
        <v>294</v>
      </c>
      <c r="CY131" s="62" t="s">
        <v>294</v>
      </c>
      <c r="CZ131" s="62" t="s">
        <v>294</v>
      </c>
      <c r="DA131" s="62" t="s">
        <v>294</v>
      </c>
      <c r="DB131" s="62" t="s">
        <v>294</v>
      </c>
      <c r="DC131" s="62" t="s">
        <v>294</v>
      </c>
      <c r="DD131" s="62" t="s">
        <v>294</v>
      </c>
      <c r="DE131" s="62" t="s">
        <v>294</v>
      </c>
      <c r="DF131" s="62" t="s">
        <v>294</v>
      </c>
      <c r="DG131" s="62" t="s">
        <v>294</v>
      </c>
      <c r="DH131" s="62" t="s">
        <v>294</v>
      </c>
      <c r="DI131" s="62" t="s">
        <v>294</v>
      </c>
      <c r="DJ131" s="62" t="s">
        <v>294</v>
      </c>
      <c r="DK131" s="62" t="s">
        <v>294</v>
      </c>
      <c r="DL131" s="62" t="s">
        <v>294</v>
      </c>
      <c r="DM131" s="62" t="s">
        <v>294</v>
      </c>
      <c r="DN131" s="328" t="s">
        <v>294</v>
      </c>
      <c r="DO131" s="328" t="s">
        <v>294</v>
      </c>
      <c r="DP131" s="328" t="s">
        <v>294</v>
      </c>
      <c r="DQ131" s="328" t="s">
        <v>294</v>
      </c>
    </row>
    <row r="132" spans="1:121" x14ac:dyDescent="0.25">
      <c r="A132" s="62" t="s">
        <v>320</v>
      </c>
      <c r="B132" s="56" t="str">
        <f>VLOOKUP(Table3[[#This Row],[Station]], StationName, 2, FALSE)</f>
        <v>J01-9007-1 (J02P05)</v>
      </c>
      <c r="C132" s="362">
        <v>1922003</v>
      </c>
      <c r="D132" s="325">
        <v>44446.37777777778</v>
      </c>
      <c r="E132" s="326" t="s">
        <v>283</v>
      </c>
      <c r="F132" s="327">
        <v>74</v>
      </c>
      <c r="G132" s="327">
        <v>99</v>
      </c>
      <c r="H132" s="327">
        <v>93</v>
      </c>
      <c r="I132" s="327">
        <v>78</v>
      </c>
      <c r="J132" s="327">
        <v>61</v>
      </c>
      <c r="K132" s="327">
        <v>55</v>
      </c>
      <c r="L132" s="327">
        <v>72</v>
      </c>
      <c r="M132" s="327">
        <v>74</v>
      </c>
      <c r="N132" s="327">
        <v>50</v>
      </c>
      <c r="O132" s="327" t="s">
        <v>259</v>
      </c>
      <c r="P132" s="62" t="s">
        <v>259</v>
      </c>
      <c r="Q132" s="62" t="s">
        <v>259</v>
      </c>
      <c r="R132" s="62" t="s">
        <v>259</v>
      </c>
      <c r="S132" s="327" t="s">
        <v>259</v>
      </c>
      <c r="T132" s="327" t="s">
        <v>259</v>
      </c>
      <c r="U132" s="327" t="s">
        <v>256</v>
      </c>
      <c r="V132" s="327" t="s">
        <v>256</v>
      </c>
      <c r="W132" s="327" t="s">
        <v>256</v>
      </c>
      <c r="X132" s="327" t="s">
        <v>256</v>
      </c>
      <c r="Y132" s="327" t="s">
        <v>284</v>
      </c>
      <c r="Z132" s="327" t="s">
        <v>256</v>
      </c>
      <c r="AA132" s="327" t="s">
        <v>256</v>
      </c>
      <c r="AB132" s="327" t="s">
        <v>256</v>
      </c>
      <c r="AC132" s="327" t="s">
        <v>256</v>
      </c>
      <c r="AD132" s="327" t="s">
        <v>256</v>
      </c>
      <c r="AE132" s="327" t="s">
        <v>256</v>
      </c>
      <c r="AF132" s="62" t="s">
        <v>256</v>
      </c>
      <c r="AG132" s="62" t="s">
        <v>256</v>
      </c>
      <c r="AH132" s="62" t="s">
        <v>256</v>
      </c>
      <c r="AI132" s="327" t="s">
        <v>256</v>
      </c>
      <c r="AJ132" s="327" t="s">
        <v>248</v>
      </c>
      <c r="AK132" s="327" t="s">
        <v>259</v>
      </c>
      <c r="AL132" s="327" t="s">
        <v>259</v>
      </c>
      <c r="AM132" s="327" t="s">
        <v>251</v>
      </c>
      <c r="AN132" s="327" t="s">
        <v>256</v>
      </c>
      <c r="AO132" s="327" t="s">
        <v>259</v>
      </c>
      <c r="AP132" s="62" t="s">
        <v>251</v>
      </c>
      <c r="AQ132" s="62" t="s">
        <v>256</v>
      </c>
      <c r="AR132" s="62" t="s">
        <v>256</v>
      </c>
      <c r="AS132" s="62" t="s">
        <v>285</v>
      </c>
      <c r="AT132" s="62" t="s">
        <v>259</v>
      </c>
      <c r="AU132" s="327" t="s">
        <v>284</v>
      </c>
      <c r="AV132" s="327" t="s">
        <v>259</v>
      </c>
      <c r="AW132" s="62" t="s">
        <v>256</v>
      </c>
      <c r="AX132" s="62" t="s">
        <v>256</v>
      </c>
      <c r="AY132" s="62" t="s">
        <v>256</v>
      </c>
      <c r="AZ132" s="62" t="s">
        <v>256</v>
      </c>
      <c r="BA132" s="62" t="s">
        <v>256</v>
      </c>
      <c r="BB132" s="62" t="s">
        <v>259</v>
      </c>
      <c r="BC132" s="62" t="s">
        <v>286</v>
      </c>
      <c r="BD132" s="62" t="s">
        <v>248</v>
      </c>
      <c r="BE132" s="62" t="s">
        <v>259</v>
      </c>
      <c r="BF132" s="62" t="s">
        <v>248</v>
      </c>
      <c r="BG132" s="327" t="s">
        <v>256</v>
      </c>
      <c r="BH132" s="327" t="s">
        <v>256</v>
      </c>
      <c r="BI132" s="327" t="s">
        <v>256</v>
      </c>
      <c r="BJ132" s="62" t="s">
        <v>256</v>
      </c>
      <c r="BK132" s="327" t="s">
        <v>256</v>
      </c>
      <c r="BL132" s="327" t="s">
        <v>256</v>
      </c>
      <c r="BM132" s="327" t="s">
        <v>259</v>
      </c>
      <c r="BN132" s="62" t="s">
        <v>256</v>
      </c>
      <c r="BO132" s="62" t="s">
        <v>259</v>
      </c>
      <c r="BP132" s="62" t="s">
        <v>284</v>
      </c>
      <c r="BQ132" s="62" t="s">
        <v>256</v>
      </c>
      <c r="BR132" s="327" t="s">
        <v>256</v>
      </c>
      <c r="BS132" s="327" t="s">
        <v>256</v>
      </c>
      <c r="BT132" s="327" t="s">
        <v>284</v>
      </c>
      <c r="BU132" s="327" t="s">
        <v>256</v>
      </c>
      <c r="BV132" s="327" t="s">
        <v>248</v>
      </c>
      <c r="BW132" s="62" t="s">
        <v>285</v>
      </c>
      <c r="BX132" s="62" t="s">
        <v>287</v>
      </c>
      <c r="BY132" s="62" t="s">
        <v>259</v>
      </c>
      <c r="BZ132" s="62" t="s">
        <v>259</v>
      </c>
      <c r="CA132" s="62">
        <v>2.2000000000000002</v>
      </c>
      <c r="CB132" s="62" t="s">
        <v>254</v>
      </c>
      <c r="CC132" s="62">
        <v>122</v>
      </c>
      <c r="CD132" s="62">
        <v>0.99</v>
      </c>
      <c r="CE132" s="62">
        <v>2.1</v>
      </c>
      <c r="CF132" s="62">
        <v>22</v>
      </c>
      <c r="CG132" s="62">
        <v>9.1999999999999993</v>
      </c>
      <c r="CH132" s="62">
        <v>435</v>
      </c>
      <c r="CI132" s="62">
        <v>320</v>
      </c>
      <c r="CJ132" s="62">
        <v>0.72</v>
      </c>
      <c r="CK132" s="62">
        <v>31.6</v>
      </c>
      <c r="CL132" s="62">
        <v>12</v>
      </c>
      <c r="CM132" s="62">
        <v>6.0999999999999999E-2</v>
      </c>
      <c r="CN132" s="62">
        <v>0.16</v>
      </c>
      <c r="CO132" s="62">
        <v>3.2</v>
      </c>
      <c r="CP132" s="62">
        <v>1.7</v>
      </c>
      <c r="CQ132" s="62" t="s">
        <v>254</v>
      </c>
      <c r="CR132" s="62" t="s">
        <v>254</v>
      </c>
      <c r="CS132" s="62">
        <v>9.8000000000000007</v>
      </c>
      <c r="CT132" s="62">
        <v>36</v>
      </c>
      <c r="CU132" s="62" t="s">
        <v>153</v>
      </c>
      <c r="CV132" s="62">
        <v>280</v>
      </c>
      <c r="CW132" s="62">
        <v>4.2</v>
      </c>
      <c r="CX132" s="62">
        <v>1.2</v>
      </c>
      <c r="CY132" s="62">
        <v>0.23</v>
      </c>
      <c r="CZ132" s="62">
        <v>7.28</v>
      </c>
      <c r="DA132" s="62">
        <v>0.99</v>
      </c>
      <c r="DB132" s="62">
        <v>1900</v>
      </c>
      <c r="DC132" s="62">
        <v>310</v>
      </c>
      <c r="DD132" s="62">
        <v>22</v>
      </c>
      <c r="DE132" s="62">
        <v>1000</v>
      </c>
      <c r="DF132" s="62" t="s">
        <v>296</v>
      </c>
      <c r="DG132" s="62">
        <v>9.4</v>
      </c>
      <c r="DH132" s="62">
        <v>7</v>
      </c>
      <c r="DI132" s="62">
        <v>4600</v>
      </c>
      <c r="DJ132" s="62">
        <v>590</v>
      </c>
      <c r="DK132" s="62" t="s">
        <v>414</v>
      </c>
      <c r="DL132" s="62" t="s">
        <v>409</v>
      </c>
      <c r="DM132" s="62">
        <v>8.3000000000000007</v>
      </c>
      <c r="DN132" s="328">
        <v>8.4700000000000006</v>
      </c>
      <c r="DO132" s="328">
        <v>1623</v>
      </c>
      <c r="DP132" s="328">
        <v>22.42</v>
      </c>
      <c r="DQ132" s="328">
        <v>8.81</v>
      </c>
    </row>
    <row r="133" spans="1:121" hidden="1" x14ac:dyDescent="0.25">
      <c r="A133" s="62" t="s">
        <v>320</v>
      </c>
      <c r="B133" s="56" t="str">
        <f>VLOOKUP(Table3[[#This Row],[Station]], StationName, 2, FALSE)</f>
        <v>J01-9007-1 (J02P05)</v>
      </c>
      <c r="C133" s="362">
        <v>1922007</v>
      </c>
      <c r="D133" s="325">
        <v>44446.37777777778</v>
      </c>
      <c r="E133" s="326" t="s">
        <v>293</v>
      </c>
      <c r="F133" s="327" t="s">
        <v>294</v>
      </c>
      <c r="G133" s="327" t="s">
        <v>294</v>
      </c>
      <c r="H133" s="327" t="s">
        <v>294</v>
      </c>
      <c r="I133" s="327" t="s">
        <v>294</v>
      </c>
      <c r="J133" s="327" t="s">
        <v>294</v>
      </c>
      <c r="K133" s="327" t="s">
        <v>294</v>
      </c>
      <c r="L133" s="327" t="s">
        <v>294</v>
      </c>
      <c r="M133" s="327" t="s">
        <v>294</v>
      </c>
      <c r="N133" s="327" t="s">
        <v>294</v>
      </c>
      <c r="O133" s="327" t="s">
        <v>294</v>
      </c>
      <c r="P133" s="62" t="s">
        <v>294</v>
      </c>
      <c r="Q133" s="62" t="s">
        <v>294</v>
      </c>
      <c r="R133" s="62" t="s">
        <v>294</v>
      </c>
      <c r="S133" s="327" t="s">
        <v>294</v>
      </c>
      <c r="T133" s="327" t="s">
        <v>294</v>
      </c>
      <c r="U133" s="327" t="s">
        <v>294</v>
      </c>
      <c r="V133" s="327" t="s">
        <v>294</v>
      </c>
      <c r="W133" s="327" t="s">
        <v>294</v>
      </c>
      <c r="X133" s="327" t="s">
        <v>294</v>
      </c>
      <c r="Y133" s="327" t="s">
        <v>294</v>
      </c>
      <c r="Z133" s="327" t="s">
        <v>294</v>
      </c>
      <c r="AA133" s="327" t="s">
        <v>294</v>
      </c>
      <c r="AB133" s="327" t="s">
        <v>294</v>
      </c>
      <c r="AC133" s="327" t="s">
        <v>294</v>
      </c>
      <c r="AD133" s="327" t="s">
        <v>294</v>
      </c>
      <c r="AE133" s="327" t="s">
        <v>294</v>
      </c>
      <c r="AF133" s="62" t="s">
        <v>294</v>
      </c>
      <c r="AG133" s="62" t="s">
        <v>294</v>
      </c>
      <c r="AH133" s="62" t="s">
        <v>294</v>
      </c>
      <c r="AI133" s="327" t="s">
        <v>294</v>
      </c>
      <c r="AJ133" s="327" t="s">
        <v>294</v>
      </c>
      <c r="AK133" s="327" t="s">
        <v>294</v>
      </c>
      <c r="AL133" s="327" t="s">
        <v>294</v>
      </c>
      <c r="AM133" s="327" t="s">
        <v>294</v>
      </c>
      <c r="AN133" s="327" t="s">
        <v>294</v>
      </c>
      <c r="AO133" s="327" t="s">
        <v>294</v>
      </c>
      <c r="AP133" s="62" t="s">
        <v>294</v>
      </c>
      <c r="AQ133" s="62" t="s">
        <v>294</v>
      </c>
      <c r="AR133" s="62" t="s">
        <v>294</v>
      </c>
      <c r="AS133" s="62" t="s">
        <v>294</v>
      </c>
      <c r="AT133" s="62" t="s">
        <v>294</v>
      </c>
      <c r="AU133" s="327" t="s">
        <v>294</v>
      </c>
      <c r="AV133" s="327" t="s">
        <v>294</v>
      </c>
      <c r="AW133" s="62" t="s">
        <v>294</v>
      </c>
      <c r="AX133" s="62" t="s">
        <v>294</v>
      </c>
      <c r="AY133" s="62" t="s">
        <v>294</v>
      </c>
      <c r="AZ133" s="62" t="s">
        <v>294</v>
      </c>
      <c r="BA133" s="62" t="s">
        <v>294</v>
      </c>
      <c r="BB133" s="62" t="s">
        <v>294</v>
      </c>
      <c r="BC133" s="62" t="s">
        <v>294</v>
      </c>
      <c r="BD133" s="62" t="s">
        <v>294</v>
      </c>
      <c r="BE133" s="62" t="s">
        <v>294</v>
      </c>
      <c r="BF133" s="62" t="s">
        <v>294</v>
      </c>
      <c r="BG133" s="327" t="s">
        <v>294</v>
      </c>
      <c r="BH133" s="327" t="s">
        <v>294</v>
      </c>
      <c r="BI133" s="327" t="s">
        <v>294</v>
      </c>
      <c r="BJ133" s="62" t="s">
        <v>294</v>
      </c>
      <c r="BK133" s="327" t="s">
        <v>294</v>
      </c>
      <c r="BL133" s="327" t="s">
        <v>294</v>
      </c>
      <c r="BM133" s="327" t="s">
        <v>294</v>
      </c>
      <c r="BN133" s="62" t="s">
        <v>294</v>
      </c>
      <c r="BO133" s="62" t="s">
        <v>294</v>
      </c>
      <c r="BP133" s="62" t="s">
        <v>294</v>
      </c>
      <c r="BQ133" s="62" t="s">
        <v>294</v>
      </c>
      <c r="BR133" s="327" t="s">
        <v>294</v>
      </c>
      <c r="BS133" s="327" t="s">
        <v>294</v>
      </c>
      <c r="BT133" s="327" t="s">
        <v>294</v>
      </c>
      <c r="BU133" s="327" t="s">
        <v>294</v>
      </c>
      <c r="BV133" s="327" t="s">
        <v>294</v>
      </c>
      <c r="BW133" s="62" t="s">
        <v>294</v>
      </c>
      <c r="BX133" s="62" t="s">
        <v>294</v>
      </c>
      <c r="BY133" s="62" t="s">
        <v>294</v>
      </c>
      <c r="BZ133" s="62" t="s">
        <v>294</v>
      </c>
      <c r="CA133" s="62">
        <v>2.1</v>
      </c>
      <c r="CB133" s="62" t="s">
        <v>254</v>
      </c>
      <c r="CC133" s="62" t="s">
        <v>294</v>
      </c>
      <c r="CD133" s="62">
        <v>1.1000000000000001</v>
      </c>
      <c r="CE133" s="62">
        <v>1</v>
      </c>
      <c r="CF133" s="62">
        <v>15</v>
      </c>
      <c r="CG133" s="62" t="s">
        <v>294</v>
      </c>
      <c r="CH133" s="62" t="s">
        <v>294</v>
      </c>
      <c r="CI133" s="62">
        <v>34</v>
      </c>
      <c r="CJ133" s="62" t="s">
        <v>254</v>
      </c>
      <c r="CK133" s="62" t="s">
        <v>294</v>
      </c>
      <c r="CL133" s="62">
        <v>1.3</v>
      </c>
      <c r="CM133" s="62" t="s">
        <v>294</v>
      </c>
      <c r="CN133" s="62" t="s">
        <v>288</v>
      </c>
      <c r="CO133" s="62">
        <v>2.5</v>
      </c>
      <c r="CP133" s="62">
        <v>1.6</v>
      </c>
      <c r="CQ133" s="62" t="s">
        <v>254</v>
      </c>
      <c r="CR133" s="62" t="s">
        <v>254</v>
      </c>
      <c r="CS133" s="62" t="s">
        <v>294</v>
      </c>
      <c r="CT133" s="62">
        <v>18</v>
      </c>
      <c r="CU133" s="62" t="s">
        <v>294</v>
      </c>
      <c r="CV133" s="62" t="s">
        <v>294</v>
      </c>
      <c r="CW133" s="62" t="s">
        <v>294</v>
      </c>
      <c r="CX133" s="62" t="s">
        <v>294</v>
      </c>
      <c r="CY133" s="62" t="s">
        <v>294</v>
      </c>
      <c r="CZ133" s="62" t="s">
        <v>294</v>
      </c>
      <c r="DA133" s="62" t="s">
        <v>294</v>
      </c>
      <c r="DB133" s="62" t="s">
        <v>294</v>
      </c>
      <c r="DC133" s="62" t="s">
        <v>294</v>
      </c>
      <c r="DD133" s="62" t="s">
        <v>294</v>
      </c>
      <c r="DE133" s="62" t="s">
        <v>294</v>
      </c>
      <c r="DF133" s="62" t="s">
        <v>294</v>
      </c>
      <c r="DG133" s="62" t="s">
        <v>294</v>
      </c>
      <c r="DH133" s="62" t="s">
        <v>294</v>
      </c>
      <c r="DI133" s="62" t="s">
        <v>294</v>
      </c>
      <c r="DJ133" s="62" t="s">
        <v>294</v>
      </c>
      <c r="DK133" s="62" t="s">
        <v>294</v>
      </c>
      <c r="DL133" s="62" t="s">
        <v>294</v>
      </c>
      <c r="DM133" s="62" t="s">
        <v>294</v>
      </c>
      <c r="DN133" s="328" t="s">
        <v>294</v>
      </c>
      <c r="DO133" s="328" t="s">
        <v>294</v>
      </c>
      <c r="DP133" s="328" t="s">
        <v>294</v>
      </c>
      <c r="DQ133" s="328" t="s">
        <v>294</v>
      </c>
    </row>
    <row r="134" spans="1:121" x14ac:dyDescent="0.25">
      <c r="A134" s="62" t="s">
        <v>313</v>
      </c>
      <c r="B134" s="56" t="str">
        <f>VLOOKUP(Table3[[#This Row],[Station]], StationName, 2, FALSE)</f>
        <v>J01-9992-1 (J01P27)</v>
      </c>
      <c r="C134" s="362">
        <v>1922001</v>
      </c>
      <c r="D134" s="325">
        <v>44446.40902777778</v>
      </c>
      <c r="E134" s="326" t="s">
        <v>283</v>
      </c>
      <c r="F134" s="327">
        <v>79</v>
      </c>
      <c r="G134" s="327">
        <v>98</v>
      </c>
      <c r="H134" s="327">
        <v>91</v>
      </c>
      <c r="I134" s="327">
        <v>82</v>
      </c>
      <c r="J134" s="327">
        <v>68</v>
      </c>
      <c r="K134" s="327">
        <v>64</v>
      </c>
      <c r="L134" s="327">
        <v>74</v>
      </c>
      <c r="M134" s="327">
        <v>80</v>
      </c>
      <c r="N134" s="327">
        <v>60</v>
      </c>
      <c r="O134" s="327" t="s">
        <v>259</v>
      </c>
      <c r="P134" s="62" t="s">
        <v>259</v>
      </c>
      <c r="Q134" s="62" t="s">
        <v>259</v>
      </c>
      <c r="R134" s="62" t="s">
        <v>259</v>
      </c>
      <c r="S134" s="327" t="s">
        <v>259</v>
      </c>
      <c r="T134" s="327" t="s">
        <v>259</v>
      </c>
      <c r="U134" s="327" t="s">
        <v>256</v>
      </c>
      <c r="V134" s="327" t="s">
        <v>256</v>
      </c>
      <c r="W134" s="327" t="s">
        <v>256</v>
      </c>
      <c r="X134" s="327" t="s">
        <v>256</v>
      </c>
      <c r="Y134" s="327" t="s">
        <v>284</v>
      </c>
      <c r="Z134" s="327" t="s">
        <v>256</v>
      </c>
      <c r="AA134" s="327" t="s">
        <v>256</v>
      </c>
      <c r="AB134" s="327" t="s">
        <v>256</v>
      </c>
      <c r="AC134" s="327" t="s">
        <v>256</v>
      </c>
      <c r="AD134" s="327" t="s">
        <v>256</v>
      </c>
      <c r="AE134" s="327" t="s">
        <v>256</v>
      </c>
      <c r="AF134" s="62" t="s">
        <v>256</v>
      </c>
      <c r="AG134" s="62" t="s">
        <v>256</v>
      </c>
      <c r="AH134" s="62" t="s">
        <v>256</v>
      </c>
      <c r="AI134" s="327" t="s">
        <v>256</v>
      </c>
      <c r="AJ134" s="327" t="s">
        <v>248</v>
      </c>
      <c r="AK134" s="327" t="s">
        <v>259</v>
      </c>
      <c r="AL134" s="327" t="s">
        <v>259</v>
      </c>
      <c r="AM134" s="327" t="s">
        <v>251</v>
      </c>
      <c r="AN134" s="327" t="s">
        <v>256</v>
      </c>
      <c r="AO134" s="327" t="s">
        <v>259</v>
      </c>
      <c r="AP134" s="62" t="s">
        <v>251</v>
      </c>
      <c r="AQ134" s="62" t="s">
        <v>256</v>
      </c>
      <c r="AR134" s="62" t="s">
        <v>256</v>
      </c>
      <c r="AS134" s="62" t="s">
        <v>285</v>
      </c>
      <c r="AT134" s="62" t="s">
        <v>259</v>
      </c>
      <c r="AU134" s="327" t="s">
        <v>284</v>
      </c>
      <c r="AV134" s="327" t="s">
        <v>259</v>
      </c>
      <c r="AW134" s="62" t="s">
        <v>256</v>
      </c>
      <c r="AX134" s="62" t="s">
        <v>256</v>
      </c>
      <c r="AY134" s="62" t="s">
        <v>256</v>
      </c>
      <c r="AZ134" s="62" t="s">
        <v>256</v>
      </c>
      <c r="BA134" s="62" t="s">
        <v>256</v>
      </c>
      <c r="BB134" s="62" t="s">
        <v>259</v>
      </c>
      <c r="BC134" s="62" t="s">
        <v>286</v>
      </c>
      <c r="BD134" s="62" t="s">
        <v>248</v>
      </c>
      <c r="BE134" s="62" t="s">
        <v>259</v>
      </c>
      <c r="BF134" s="62" t="s">
        <v>248</v>
      </c>
      <c r="BG134" s="327" t="s">
        <v>256</v>
      </c>
      <c r="BH134" s="327" t="s">
        <v>256</v>
      </c>
      <c r="BI134" s="327" t="s">
        <v>256</v>
      </c>
      <c r="BJ134" s="62" t="s">
        <v>256</v>
      </c>
      <c r="BK134" s="327" t="s">
        <v>256</v>
      </c>
      <c r="BL134" s="327" t="s">
        <v>256</v>
      </c>
      <c r="BM134" s="327" t="s">
        <v>259</v>
      </c>
      <c r="BN134" s="62" t="s">
        <v>256</v>
      </c>
      <c r="BO134" s="62" t="s">
        <v>259</v>
      </c>
      <c r="BP134" s="62" t="s">
        <v>284</v>
      </c>
      <c r="BQ134" s="62" t="s">
        <v>256</v>
      </c>
      <c r="BR134" s="327" t="s">
        <v>256</v>
      </c>
      <c r="BS134" s="327" t="s">
        <v>256</v>
      </c>
      <c r="BT134" s="327" t="s">
        <v>284</v>
      </c>
      <c r="BU134" s="327" t="s">
        <v>256</v>
      </c>
      <c r="BV134" s="327" t="s">
        <v>248</v>
      </c>
      <c r="BW134" s="62" t="s">
        <v>285</v>
      </c>
      <c r="BX134" s="62" t="s">
        <v>287</v>
      </c>
      <c r="BY134" s="62" t="s">
        <v>259</v>
      </c>
      <c r="BZ134" s="62" t="s">
        <v>259</v>
      </c>
      <c r="CA134" s="62">
        <v>16</v>
      </c>
      <c r="CB134" s="62">
        <v>2.2999999999999998</v>
      </c>
      <c r="CC134" s="62">
        <v>280</v>
      </c>
      <c r="CD134" s="62">
        <v>1.2</v>
      </c>
      <c r="CE134" s="62">
        <v>2.1</v>
      </c>
      <c r="CF134" s="62">
        <v>8.1999999999999993</v>
      </c>
      <c r="CG134" s="62">
        <v>7.2</v>
      </c>
      <c r="CH134" s="62">
        <v>1070</v>
      </c>
      <c r="CI134" s="62">
        <v>300</v>
      </c>
      <c r="CJ134" s="62">
        <v>0.2</v>
      </c>
      <c r="CK134" s="62">
        <v>89.5</v>
      </c>
      <c r="CL134" s="62">
        <v>30</v>
      </c>
      <c r="CM134" s="62" t="s">
        <v>288</v>
      </c>
      <c r="CN134" s="62">
        <v>0.13</v>
      </c>
      <c r="CO134" s="62">
        <v>11</v>
      </c>
      <c r="CP134" s="62">
        <v>47</v>
      </c>
      <c r="CQ134" s="62" t="s">
        <v>254</v>
      </c>
      <c r="CR134" s="62" t="s">
        <v>254</v>
      </c>
      <c r="CS134" s="62">
        <v>6.5</v>
      </c>
      <c r="CT134" s="62">
        <v>15</v>
      </c>
      <c r="CU134" s="62">
        <v>0.11</v>
      </c>
      <c r="CV134" s="62">
        <v>510</v>
      </c>
      <c r="CW134" s="62">
        <v>7.1</v>
      </c>
      <c r="CX134" s="62">
        <v>1.2</v>
      </c>
      <c r="CY134" s="62">
        <v>0.37</v>
      </c>
      <c r="CZ134" s="62">
        <v>7.39</v>
      </c>
      <c r="DA134" s="62">
        <v>1.3</v>
      </c>
      <c r="DB134" s="62">
        <v>3400</v>
      </c>
      <c r="DC134" s="62">
        <v>910</v>
      </c>
      <c r="DD134" s="62">
        <v>23.3</v>
      </c>
      <c r="DE134" s="62">
        <v>2300</v>
      </c>
      <c r="DF134" s="62" t="s">
        <v>289</v>
      </c>
      <c r="DG134" s="62">
        <v>5.9</v>
      </c>
      <c r="DH134" s="62">
        <v>3.4</v>
      </c>
      <c r="DI134" s="62">
        <v>15900</v>
      </c>
      <c r="DJ134" s="62">
        <v>6900</v>
      </c>
      <c r="DK134" s="62" t="s">
        <v>415</v>
      </c>
      <c r="DL134" s="62" t="s">
        <v>391</v>
      </c>
      <c r="DM134" s="62">
        <v>6.72</v>
      </c>
      <c r="DN134" s="328">
        <v>7.95</v>
      </c>
      <c r="DO134" s="328">
        <v>3087</v>
      </c>
      <c r="DP134" s="328">
        <v>22.27</v>
      </c>
      <c r="DQ134" s="328">
        <v>5.17</v>
      </c>
    </row>
    <row r="135" spans="1:121" hidden="1" x14ac:dyDescent="0.25">
      <c r="A135" s="62" t="s">
        <v>313</v>
      </c>
      <c r="B135" s="56" t="str">
        <f>VLOOKUP(Table3[[#This Row],[Station]], StationName, 2, FALSE)</f>
        <v>J01-9992-1 (J01P27)</v>
      </c>
      <c r="C135" s="362">
        <v>1922005</v>
      </c>
      <c r="D135" s="325">
        <v>44446.40902777778</v>
      </c>
      <c r="E135" s="326" t="s">
        <v>293</v>
      </c>
      <c r="F135" s="327" t="s">
        <v>294</v>
      </c>
      <c r="G135" s="327" t="s">
        <v>294</v>
      </c>
      <c r="H135" s="327" t="s">
        <v>294</v>
      </c>
      <c r="I135" s="327" t="s">
        <v>294</v>
      </c>
      <c r="J135" s="327" t="s">
        <v>294</v>
      </c>
      <c r="K135" s="327" t="s">
        <v>294</v>
      </c>
      <c r="L135" s="327" t="s">
        <v>294</v>
      </c>
      <c r="M135" s="327" t="s">
        <v>294</v>
      </c>
      <c r="N135" s="327" t="s">
        <v>294</v>
      </c>
      <c r="O135" s="327" t="s">
        <v>294</v>
      </c>
      <c r="P135" s="62" t="s">
        <v>294</v>
      </c>
      <c r="Q135" s="62" t="s">
        <v>294</v>
      </c>
      <c r="R135" s="62" t="s">
        <v>294</v>
      </c>
      <c r="S135" s="327" t="s">
        <v>294</v>
      </c>
      <c r="T135" s="327" t="s">
        <v>294</v>
      </c>
      <c r="U135" s="327" t="s">
        <v>294</v>
      </c>
      <c r="V135" s="327" t="s">
        <v>294</v>
      </c>
      <c r="W135" s="327" t="s">
        <v>294</v>
      </c>
      <c r="X135" s="327" t="s">
        <v>294</v>
      </c>
      <c r="Y135" s="327" t="s">
        <v>294</v>
      </c>
      <c r="Z135" s="327" t="s">
        <v>294</v>
      </c>
      <c r="AA135" s="327" t="s">
        <v>294</v>
      </c>
      <c r="AB135" s="327" t="s">
        <v>294</v>
      </c>
      <c r="AC135" s="327" t="s">
        <v>294</v>
      </c>
      <c r="AD135" s="327" t="s">
        <v>294</v>
      </c>
      <c r="AE135" s="327" t="s">
        <v>294</v>
      </c>
      <c r="AF135" s="62" t="s">
        <v>294</v>
      </c>
      <c r="AG135" s="62" t="s">
        <v>294</v>
      </c>
      <c r="AH135" s="62" t="s">
        <v>294</v>
      </c>
      <c r="AI135" s="327" t="s">
        <v>294</v>
      </c>
      <c r="AJ135" s="327" t="s">
        <v>294</v>
      </c>
      <c r="AK135" s="327" t="s">
        <v>294</v>
      </c>
      <c r="AL135" s="327" t="s">
        <v>294</v>
      </c>
      <c r="AM135" s="327" t="s">
        <v>294</v>
      </c>
      <c r="AN135" s="327" t="s">
        <v>294</v>
      </c>
      <c r="AO135" s="327" t="s">
        <v>294</v>
      </c>
      <c r="AP135" s="62" t="s">
        <v>294</v>
      </c>
      <c r="AQ135" s="62" t="s">
        <v>294</v>
      </c>
      <c r="AR135" s="62" t="s">
        <v>294</v>
      </c>
      <c r="AS135" s="62" t="s">
        <v>294</v>
      </c>
      <c r="AT135" s="62" t="s">
        <v>294</v>
      </c>
      <c r="AU135" s="327" t="s">
        <v>294</v>
      </c>
      <c r="AV135" s="327" t="s">
        <v>294</v>
      </c>
      <c r="AW135" s="62" t="s">
        <v>294</v>
      </c>
      <c r="AX135" s="62" t="s">
        <v>294</v>
      </c>
      <c r="AY135" s="62" t="s">
        <v>294</v>
      </c>
      <c r="AZ135" s="62" t="s">
        <v>294</v>
      </c>
      <c r="BA135" s="62" t="s">
        <v>294</v>
      </c>
      <c r="BB135" s="62" t="s">
        <v>294</v>
      </c>
      <c r="BC135" s="62" t="s">
        <v>294</v>
      </c>
      <c r="BD135" s="62" t="s">
        <v>294</v>
      </c>
      <c r="BE135" s="62" t="s">
        <v>294</v>
      </c>
      <c r="BF135" s="62" t="s">
        <v>294</v>
      </c>
      <c r="BG135" s="327" t="s">
        <v>294</v>
      </c>
      <c r="BH135" s="327" t="s">
        <v>294</v>
      </c>
      <c r="BI135" s="327" t="s">
        <v>294</v>
      </c>
      <c r="BJ135" s="62" t="s">
        <v>294</v>
      </c>
      <c r="BK135" s="327" t="s">
        <v>294</v>
      </c>
      <c r="BL135" s="327" t="s">
        <v>294</v>
      </c>
      <c r="BM135" s="327" t="s">
        <v>294</v>
      </c>
      <c r="BN135" s="62" t="s">
        <v>294</v>
      </c>
      <c r="BO135" s="62" t="s">
        <v>294</v>
      </c>
      <c r="BP135" s="62" t="s">
        <v>294</v>
      </c>
      <c r="BQ135" s="62" t="s">
        <v>294</v>
      </c>
      <c r="BR135" s="327" t="s">
        <v>294</v>
      </c>
      <c r="BS135" s="327" t="s">
        <v>294</v>
      </c>
      <c r="BT135" s="327" t="s">
        <v>294</v>
      </c>
      <c r="BU135" s="327" t="s">
        <v>294</v>
      </c>
      <c r="BV135" s="327" t="s">
        <v>294</v>
      </c>
      <c r="BW135" s="62" t="s">
        <v>294</v>
      </c>
      <c r="BX135" s="62" t="s">
        <v>294</v>
      </c>
      <c r="BY135" s="62" t="s">
        <v>294</v>
      </c>
      <c r="BZ135" s="62" t="s">
        <v>294</v>
      </c>
      <c r="CA135" s="62">
        <v>15</v>
      </c>
      <c r="CB135" s="62">
        <v>1.5</v>
      </c>
      <c r="CC135" s="62" t="s">
        <v>294</v>
      </c>
      <c r="CD135" s="62">
        <v>1.2</v>
      </c>
      <c r="CE135" s="62">
        <v>1.2</v>
      </c>
      <c r="CF135" s="62">
        <v>2.8</v>
      </c>
      <c r="CG135" s="62" t="s">
        <v>294</v>
      </c>
      <c r="CH135" s="62" t="s">
        <v>294</v>
      </c>
      <c r="CI135" s="62" t="s">
        <v>286</v>
      </c>
      <c r="CJ135" s="62" t="s">
        <v>254</v>
      </c>
      <c r="CK135" s="62" t="s">
        <v>294</v>
      </c>
      <c r="CL135" s="62">
        <v>20</v>
      </c>
      <c r="CM135" s="62" t="s">
        <v>294</v>
      </c>
      <c r="CN135" s="62">
        <v>0.08</v>
      </c>
      <c r="CO135" s="62">
        <v>11</v>
      </c>
      <c r="CP135" s="62">
        <v>47</v>
      </c>
      <c r="CQ135" s="62" t="s">
        <v>254</v>
      </c>
      <c r="CR135" s="62" t="s">
        <v>254</v>
      </c>
      <c r="CS135" s="62" t="s">
        <v>294</v>
      </c>
      <c r="CT135" s="62">
        <v>12</v>
      </c>
      <c r="CU135" s="62" t="s">
        <v>294</v>
      </c>
      <c r="CV135" s="62" t="s">
        <v>294</v>
      </c>
      <c r="CW135" s="62" t="s">
        <v>294</v>
      </c>
      <c r="CX135" s="62" t="s">
        <v>294</v>
      </c>
      <c r="CY135" s="62" t="s">
        <v>294</v>
      </c>
      <c r="CZ135" s="62" t="s">
        <v>294</v>
      </c>
      <c r="DA135" s="62" t="s">
        <v>294</v>
      </c>
      <c r="DB135" s="62" t="s">
        <v>294</v>
      </c>
      <c r="DC135" s="62" t="s">
        <v>294</v>
      </c>
      <c r="DD135" s="62" t="s">
        <v>294</v>
      </c>
      <c r="DE135" s="62" t="s">
        <v>294</v>
      </c>
      <c r="DF135" s="62" t="s">
        <v>294</v>
      </c>
      <c r="DG135" s="62" t="s">
        <v>294</v>
      </c>
      <c r="DH135" s="62" t="s">
        <v>294</v>
      </c>
      <c r="DI135" s="62" t="s">
        <v>294</v>
      </c>
      <c r="DJ135" s="62" t="s">
        <v>294</v>
      </c>
      <c r="DK135" s="62" t="s">
        <v>294</v>
      </c>
      <c r="DL135" s="62" t="s">
        <v>294</v>
      </c>
      <c r="DM135" s="62" t="s">
        <v>294</v>
      </c>
      <c r="DN135" s="328" t="s">
        <v>294</v>
      </c>
      <c r="DO135" s="328" t="s">
        <v>294</v>
      </c>
      <c r="DP135" s="328" t="s">
        <v>294</v>
      </c>
      <c r="DQ135" s="328" t="s">
        <v>294</v>
      </c>
    </row>
    <row r="136" spans="1:121" x14ac:dyDescent="0.25">
      <c r="A136" s="62" t="s">
        <v>342</v>
      </c>
      <c r="B136" s="56" t="str">
        <f>VLOOKUP(Table3[[#This Row],[Station]], StationName, 2, FALSE)</f>
        <v>J01-10004-1 (J01P01)</v>
      </c>
      <c r="C136" s="362">
        <v>1920004</v>
      </c>
      <c r="D136" s="325">
        <v>44446.434027777781</v>
      </c>
      <c r="E136" s="326" t="s">
        <v>283</v>
      </c>
      <c r="F136" s="327">
        <v>92</v>
      </c>
      <c r="G136" s="327">
        <v>106</v>
      </c>
      <c r="H136" s="327">
        <v>64</v>
      </c>
      <c r="I136" s="327">
        <v>83</v>
      </c>
      <c r="J136" s="327">
        <v>78</v>
      </c>
      <c r="K136" s="327">
        <v>69</v>
      </c>
      <c r="L136" s="327">
        <v>86</v>
      </c>
      <c r="M136" s="327">
        <v>97</v>
      </c>
      <c r="N136" s="327">
        <v>53</v>
      </c>
      <c r="O136" s="327" t="s">
        <v>259</v>
      </c>
      <c r="P136" s="62" t="s">
        <v>259</v>
      </c>
      <c r="Q136" s="62" t="s">
        <v>259</v>
      </c>
      <c r="R136" s="62" t="s">
        <v>259</v>
      </c>
      <c r="S136" s="327" t="s">
        <v>259</v>
      </c>
      <c r="T136" s="327" t="s">
        <v>259</v>
      </c>
      <c r="U136" s="327">
        <v>1.08</v>
      </c>
      <c r="V136" s="327" t="s">
        <v>256</v>
      </c>
      <c r="W136" s="327" t="s">
        <v>256</v>
      </c>
      <c r="X136" s="327" t="s">
        <v>256</v>
      </c>
      <c r="Y136" s="327" t="s">
        <v>284</v>
      </c>
      <c r="Z136" s="327">
        <v>1.86</v>
      </c>
      <c r="AA136" s="327" t="s">
        <v>256</v>
      </c>
      <c r="AB136" s="327" t="s">
        <v>256</v>
      </c>
      <c r="AC136" s="327" t="s">
        <v>256</v>
      </c>
      <c r="AD136" s="327" t="s">
        <v>256</v>
      </c>
      <c r="AE136" s="327" t="s">
        <v>256</v>
      </c>
      <c r="AF136" s="62" t="s">
        <v>256</v>
      </c>
      <c r="AG136" s="62" t="s">
        <v>256</v>
      </c>
      <c r="AH136" s="62" t="s">
        <v>256</v>
      </c>
      <c r="AI136" s="327" t="s">
        <v>256</v>
      </c>
      <c r="AJ136" s="327" t="s">
        <v>248</v>
      </c>
      <c r="AK136" s="327" t="s">
        <v>259</v>
      </c>
      <c r="AL136" s="327" t="s">
        <v>259</v>
      </c>
      <c r="AM136" s="327" t="s">
        <v>251</v>
      </c>
      <c r="AN136" s="327" t="s">
        <v>256</v>
      </c>
      <c r="AO136" s="327" t="s">
        <v>259</v>
      </c>
      <c r="AP136" s="62" t="s">
        <v>251</v>
      </c>
      <c r="AQ136" s="62" t="s">
        <v>256</v>
      </c>
      <c r="AR136" s="62" t="s">
        <v>256</v>
      </c>
      <c r="AS136" s="62" t="s">
        <v>285</v>
      </c>
      <c r="AT136" s="62" t="s">
        <v>259</v>
      </c>
      <c r="AU136" s="327" t="s">
        <v>284</v>
      </c>
      <c r="AV136" s="327" t="s">
        <v>259</v>
      </c>
      <c r="AW136" s="62" t="s">
        <v>256</v>
      </c>
      <c r="AX136" s="62" t="s">
        <v>256</v>
      </c>
      <c r="AY136" s="62" t="s">
        <v>256</v>
      </c>
      <c r="AZ136" s="62" t="s">
        <v>256</v>
      </c>
      <c r="BA136" s="62" t="s">
        <v>256</v>
      </c>
      <c r="BB136" s="62" t="s">
        <v>259</v>
      </c>
      <c r="BC136" s="62" t="s">
        <v>286</v>
      </c>
      <c r="BD136" s="62" t="s">
        <v>248</v>
      </c>
      <c r="BE136" s="62" t="s">
        <v>259</v>
      </c>
      <c r="BF136" s="62" t="s">
        <v>248</v>
      </c>
      <c r="BG136" s="327">
        <v>3.02</v>
      </c>
      <c r="BH136" s="327" t="s">
        <v>256</v>
      </c>
      <c r="BI136" s="327" t="s">
        <v>256</v>
      </c>
      <c r="BJ136" s="62" t="s">
        <v>256</v>
      </c>
      <c r="BK136" s="327" t="s">
        <v>256</v>
      </c>
      <c r="BL136" s="327" t="s">
        <v>256</v>
      </c>
      <c r="BM136" s="327" t="s">
        <v>259</v>
      </c>
      <c r="BN136" s="62" t="s">
        <v>256</v>
      </c>
      <c r="BO136" s="62" t="s">
        <v>259</v>
      </c>
      <c r="BP136" s="62" t="s">
        <v>284</v>
      </c>
      <c r="BQ136" s="62" t="s">
        <v>256</v>
      </c>
      <c r="BR136" s="327">
        <v>4.04</v>
      </c>
      <c r="BS136" s="327">
        <v>1.35</v>
      </c>
      <c r="BT136" s="327" t="s">
        <v>284</v>
      </c>
      <c r="BU136" s="327">
        <v>4.51</v>
      </c>
      <c r="BV136" s="327" t="s">
        <v>248</v>
      </c>
      <c r="BW136" s="62" t="s">
        <v>285</v>
      </c>
      <c r="BX136" s="62" t="s">
        <v>287</v>
      </c>
      <c r="BY136" s="62" t="s">
        <v>259</v>
      </c>
      <c r="BZ136" s="62" t="s">
        <v>259</v>
      </c>
      <c r="CA136" s="62">
        <v>4.9000000000000004</v>
      </c>
      <c r="CB136" s="62" t="s">
        <v>254</v>
      </c>
      <c r="CC136" s="62">
        <v>218</v>
      </c>
      <c r="CD136" s="62">
        <v>0.28000000000000003</v>
      </c>
      <c r="CE136" s="62">
        <v>0.34</v>
      </c>
      <c r="CF136" s="62">
        <v>3.2</v>
      </c>
      <c r="CG136" s="62">
        <v>6.2</v>
      </c>
      <c r="CH136" s="62">
        <v>702</v>
      </c>
      <c r="CI136" s="62">
        <v>75</v>
      </c>
      <c r="CJ136" s="62" t="s">
        <v>254</v>
      </c>
      <c r="CK136" s="62">
        <v>38</v>
      </c>
      <c r="CL136" s="62">
        <v>55</v>
      </c>
      <c r="CM136" s="62" t="s">
        <v>288</v>
      </c>
      <c r="CN136" s="62" t="s">
        <v>288</v>
      </c>
      <c r="CO136" s="62">
        <v>2.2999999999999998</v>
      </c>
      <c r="CP136" s="62">
        <v>2.6</v>
      </c>
      <c r="CQ136" s="62" t="s">
        <v>254</v>
      </c>
      <c r="CR136" s="62" t="s">
        <v>254</v>
      </c>
      <c r="CS136" s="62">
        <v>5.4</v>
      </c>
      <c r="CT136" s="62" t="s">
        <v>284</v>
      </c>
      <c r="CU136" s="62" t="s">
        <v>153</v>
      </c>
      <c r="CV136" s="62">
        <v>290</v>
      </c>
      <c r="CW136" s="62">
        <v>8.6999999999999993</v>
      </c>
      <c r="CX136" s="62">
        <v>0.9</v>
      </c>
      <c r="CY136" s="62">
        <v>0.78</v>
      </c>
      <c r="CZ136" s="62">
        <v>8.0299999999999994</v>
      </c>
      <c r="DA136" s="62">
        <v>2.9</v>
      </c>
      <c r="DB136" s="62">
        <v>2400</v>
      </c>
      <c r="DC136" s="62">
        <v>440</v>
      </c>
      <c r="DD136" s="62">
        <v>22.6</v>
      </c>
      <c r="DE136" s="62">
        <v>1500</v>
      </c>
      <c r="DF136" s="62" t="s">
        <v>296</v>
      </c>
      <c r="DG136" s="62">
        <v>3.6</v>
      </c>
      <c r="DH136" s="62">
        <v>1.3</v>
      </c>
      <c r="DI136" s="62">
        <v>10300</v>
      </c>
      <c r="DJ136" s="62">
        <v>2500</v>
      </c>
      <c r="DK136" s="62">
        <v>5400</v>
      </c>
      <c r="DL136" s="62" t="s">
        <v>375</v>
      </c>
      <c r="DM136" s="62">
        <v>7.94</v>
      </c>
      <c r="DN136" s="328">
        <v>8.6</v>
      </c>
      <c r="DO136" s="328">
        <v>2123</v>
      </c>
      <c r="DP136" s="328">
        <v>22.9</v>
      </c>
      <c r="DQ136" s="328">
        <v>2.2000000000000002</v>
      </c>
    </row>
    <row r="137" spans="1:121" hidden="1" x14ac:dyDescent="0.25">
      <c r="A137" s="62" t="s">
        <v>342</v>
      </c>
      <c r="B137" s="56" t="str">
        <f>VLOOKUP(Table3[[#This Row],[Station]], StationName, 2, FALSE)</f>
        <v>J01-10004-1 (J01P01)</v>
      </c>
      <c r="C137" s="362">
        <v>1920009</v>
      </c>
      <c r="D137" s="325">
        <v>44446.434027777781</v>
      </c>
      <c r="E137" s="326" t="s">
        <v>293</v>
      </c>
      <c r="F137" s="327" t="s">
        <v>294</v>
      </c>
      <c r="G137" s="327" t="s">
        <v>294</v>
      </c>
      <c r="H137" s="327" t="s">
        <v>294</v>
      </c>
      <c r="I137" s="327" t="s">
        <v>294</v>
      </c>
      <c r="J137" s="327" t="s">
        <v>294</v>
      </c>
      <c r="K137" s="327" t="s">
        <v>294</v>
      </c>
      <c r="L137" s="327" t="s">
        <v>294</v>
      </c>
      <c r="M137" s="327" t="s">
        <v>294</v>
      </c>
      <c r="N137" s="327" t="s">
        <v>294</v>
      </c>
      <c r="O137" s="327" t="s">
        <v>294</v>
      </c>
      <c r="P137" s="62" t="s">
        <v>294</v>
      </c>
      <c r="Q137" s="62" t="s">
        <v>294</v>
      </c>
      <c r="R137" s="62" t="s">
        <v>294</v>
      </c>
      <c r="S137" s="327" t="s">
        <v>294</v>
      </c>
      <c r="T137" s="327" t="s">
        <v>294</v>
      </c>
      <c r="U137" s="327" t="s">
        <v>294</v>
      </c>
      <c r="V137" s="327" t="s">
        <v>294</v>
      </c>
      <c r="W137" s="327" t="s">
        <v>294</v>
      </c>
      <c r="X137" s="327" t="s">
        <v>294</v>
      </c>
      <c r="Y137" s="327" t="s">
        <v>294</v>
      </c>
      <c r="Z137" s="327" t="s">
        <v>294</v>
      </c>
      <c r="AA137" s="327" t="s">
        <v>294</v>
      </c>
      <c r="AB137" s="327" t="s">
        <v>294</v>
      </c>
      <c r="AC137" s="327" t="s">
        <v>294</v>
      </c>
      <c r="AD137" s="327" t="s">
        <v>294</v>
      </c>
      <c r="AE137" s="327" t="s">
        <v>294</v>
      </c>
      <c r="AF137" s="62" t="s">
        <v>294</v>
      </c>
      <c r="AG137" s="62" t="s">
        <v>294</v>
      </c>
      <c r="AH137" s="62" t="s">
        <v>294</v>
      </c>
      <c r="AI137" s="327" t="s">
        <v>294</v>
      </c>
      <c r="AJ137" s="327" t="s">
        <v>294</v>
      </c>
      <c r="AK137" s="327" t="s">
        <v>294</v>
      </c>
      <c r="AL137" s="327" t="s">
        <v>294</v>
      </c>
      <c r="AM137" s="327" t="s">
        <v>294</v>
      </c>
      <c r="AN137" s="327" t="s">
        <v>294</v>
      </c>
      <c r="AO137" s="327" t="s">
        <v>294</v>
      </c>
      <c r="AP137" s="62" t="s">
        <v>294</v>
      </c>
      <c r="AQ137" s="62" t="s">
        <v>294</v>
      </c>
      <c r="AR137" s="62" t="s">
        <v>294</v>
      </c>
      <c r="AS137" s="62" t="s">
        <v>294</v>
      </c>
      <c r="AT137" s="62" t="s">
        <v>294</v>
      </c>
      <c r="AU137" s="327" t="s">
        <v>294</v>
      </c>
      <c r="AV137" s="327" t="s">
        <v>294</v>
      </c>
      <c r="AW137" s="62" t="s">
        <v>294</v>
      </c>
      <c r="AX137" s="62" t="s">
        <v>294</v>
      </c>
      <c r="AY137" s="62" t="s">
        <v>294</v>
      </c>
      <c r="AZ137" s="62" t="s">
        <v>294</v>
      </c>
      <c r="BA137" s="62" t="s">
        <v>294</v>
      </c>
      <c r="BB137" s="62" t="s">
        <v>294</v>
      </c>
      <c r="BC137" s="62" t="s">
        <v>294</v>
      </c>
      <c r="BD137" s="62" t="s">
        <v>294</v>
      </c>
      <c r="BE137" s="62" t="s">
        <v>294</v>
      </c>
      <c r="BF137" s="62" t="s">
        <v>294</v>
      </c>
      <c r="BG137" s="327" t="s">
        <v>294</v>
      </c>
      <c r="BH137" s="327" t="s">
        <v>294</v>
      </c>
      <c r="BI137" s="327" t="s">
        <v>294</v>
      </c>
      <c r="BJ137" s="62" t="s">
        <v>294</v>
      </c>
      <c r="BK137" s="327" t="s">
        <v>294</v>
      </c>
      <c r="BL137" s="327" t="s">
        <v>294</v>
      </c>
      <c r="BM137" s="327" t="s">
        <v>294</v>
      </c>
      <c r="BN137" s="62" t="s">
        <v>294</v>
      </c>
      <c r="BO137" s="62" t="s">
        <v>294</v>
      </c>
      <c r="BP137" s="62" t="s">
        <v>294</v>
      </c>
      <c r="BQ137" s="62" t="s">
        <v>294</v>
      </c>
      <c r="BR137" s="327" t="s">
        <v>294</v>
      </c>
      <c r="BS137" s="327" t="s">
        <v>294</v>
      </c>
      <c r="BT137" s="327" t="s">
        <v>294</v>
      </c>
      <c r="BU137" s="327" t="s">
        <v>294</v>
      </c>
      <c r="BV137" s="327" t="s">
        <v>294</v>
      </c>
      <c r="BW137" s="62" t="s">
        <v>294</v>
      </c>
      <c r="BX137" s="62" t="s">
        <v>294</v>
      </c>
      <c r="BY137" s="62" t="s">
        <v>294</v>
      </c>
      <c r="BZ137" s="62" t="s">
        <v>294</v>
      </c>
      <c r="CA137" s="62">
        <v>5</v>
      </c>
      <c r="CB137" s="62" t="s">
        <v>254</v>
      </c>
      <c r="CC137" s="62" t="s">
        <v>294</v>
      </c>
      <c r="CD137" s="62">
        <v>0.23</v>
      </c>
      <c r="CE137" s="62">
        <v>0.3</v>
      </c>
      <c r="CF137" s="62">
        <v>2.2999999999999998</v>
      </c>
      <c r="CG137" s="62" t="s">
        <v>294</v>
      </c>
      <c r="CH137" s="62" t="s">
        <v>294</v>
      </c>
      <c r="CI137" s="62" t="s">
        <v>286</v>
      </c>
      <c r="CJ137" s="62" t="s">
        <v>254</v>
      </c>
      <c r="CK137" s="62" t="s">
        <v>294</v>
      </c>
      <c r="CL137" s="62">
        <v>50</v>
      </c>
      <c r="CM137" s="62" t="s">
        <v>294</v>
      </c>
      <c r="CN137" s="62" t="s">
        <v>288</v>
      </c>
      <c r="CO137" s="62">
        <v>2.2999999999999998</v>
      </c>
      <c r="CP137" s="62">
        <v>2.7</v>
      </c>
      <c r="CQ137" s="62" t="s">
        <v>254</v>
      </c>
      <c r="CR137" s="62" t="s">
        <v>254</v>
      </c>
      <c r="CS137" s="62" t="s">
        <v>294</v>
      </c>
      <c r="CT137" s="62" t="s">
        <v>284</v>
      </c>
      <c r="CU137" s="62" t="s">
        <v>294</v>
      </c>
      <c r="CV137" s="62" t="s">
        <v>294</v>
      </c>
      <c r="CW137" s="62" t="s">
        <v>294</v>
      </c>
      <c r="CX137" s="62" t="s">
        <v>294</v>
      </c>
      <c r="CY137" s="62" t="s">
        <v>294</v>
      </c>
      <c r="CZ137" s="62" t="s">
        <v>294</v>
      </c>
      <c r="DA137" s="62" t="s">
        <v>294</v>
      </c>
      <c r="DB137" s="62" t="s">
        <v>294</v>
      </c>
      <c r="DC137" s="62" t="s">
        <v>294</v>
      </c>
      <c r="DD137" s="62" t="s">
        <v>294</v>
      </c>
      <c r="DE137" s="62" t="s">
        <v>294</v>
      </c>
      <c r="DF137" s="62" t="s">
        <v>294</v>
      </c>
      <c r="DG137" s="62" t="s">
        <v>294</v>
      </c>
      <c r="DH137" s="62" t="s">
        <v>294</v>
      </c>
      <c r="DI137" s="62" t="s">
        <v>294</v>
      </c>
      <c r="DJ137" s="62" t="s">
        <v>294</v>
      </c>
      <c r="DK137" s="62" t="s">
        <v>294</v>
      </c>
      <c r="DL137" s="62" t="s">
        <v>294</v>
      </c>
      <c r="DM137" s="62" t="s">
        <v>294</v>
      </c>
      <c r="DN137" s="328" t="s">
        <v>294</v>
      </c>
      <c r="DO137" s="328" t="s">
        <v>294</v>
      </c>
      <c r="DP137" s="328" t="s">
        <v>294</v>
      </c>
      <c r="DQ137" s="328" t="s">
        <v>294</v>
      </c>
    </row>
    <row r="138" spans="1:121" x14ac:dyDescent="0.25">
      <c r="A138" s="62" t="s">
        <v>108</v>
      </c>
      <c r="B138" s="56" t="str">
        <f>VLOOKUP(Table3[[#This Row],[Station]], StationName, 2, FALSE)</f>
        <v>J01-9082-2</v>
      </c>
      <c r="C138" s="362">
        <v>1922004</v>
      </c>
      <c r="D138" s="325">
        <v>44446.457638888889</v>
      </c>
      <c r="E138" s="326" t="s">
        <v>283</v>
      </c>
      <c r="F138" s="327">
        <v>86</v>
      </c>
      <c r="G138" s="327">
        <v>103</v>
      </c>
      <c r="H138" s="327">
        <v>84</v>
      </c>
      <c r="I138" s="327">
        <v>84</v>
      </c>
      <c r="J138" s="327">
        <v>72</v>
      </c>
      <c r="K138" s="327">
        <v>73</v>
      </c>
      <c r="L138" s="327">
        <v>83</v>
      </c>
      <c r="M138" s="327">
        <v>89</v>
      </c>
      <c r="N138" s="327">
        <v>65</v>
      </c>
      <c r="O138" s="327" t="s">
        <v>259</v>
      </c>
      <c r="P138" s="62" t="s">
        <v>259</v>
      </c>
      <c r="Q138" s="62" t="s">
        <v>259</v>
      </c>
      <c r="R138" s="62" t="s">
        <v>259</v>
      </c>
      <c r="S138" s="327" t="s">
        <v>259</v>
      </c>
      <c r="T138" s="327" t="s">
        <v>259</v>
      </c>
      <c r="U138" s="327" t="s">
        <v>256</v>
      </c>
      <c r="V138" s="327" t="s">
        <v>256</v>
      </c>
      <c r="W138" s="327" t="s">
        <v>256</v>
      </c>
      <c r="X138" s="327" t="s">
        <v>256</v>
      </c>
      <c r="Y138" s="327" t="s">
        <v>284</v>
      </c>
      <c r="Z138" s="327" t="s">
        <v>256</v>
      </c>
      <c r="AA138" s="327">
        <v>2.35</v>
      </c>
      <c r="AB138" s="327" t="s">
        <v>256</v>
      </c>
      <c r="AC138" s="327" t="s">
        <v>256</v>
      </c>
      <c r="AD138" s="327" t="s">
        <v>256</v>
      </c>
      <c r="AE138" s="327" t="s">
        <v>256</v>
      </c>
      <c r="AF138" s="62" t="s">
        <v>256</v>
      </c>
      <c r="AG138" s="62" t="s">
        <v>256</v>
      </c>
      <c r="AH138" s="62" t="s">
        <v>256</v>
      </c>
      <c r="AI138" s="327" t="s">
        <v>256</v>
      </c>
      <c r="AJ138" s="327" t="s">
        <v>248</v>
      </c>
      <c r="AK138" s="327" t="s">
        <v>259</v>
      </c>
      <c r="AL138" s="327" t="s">
        <v>259</v>
      </c>
      <c r="AM138" s="327" t="s">
        <v>251</v>
      </c>
      <c r="AN138" s="327" t="s">
        <v>256</v>
      </c>
      <c r="AO138" s="327" t="s">
        <v>259</v>
      </c>
      <c r="AP138" s="62" t="s">
        <v>251</v>
      </c>
      <c r="AQ138" s="62" t="s">
        <v>256</v>
      </c>
      <c r="AR138" s="62" t="s">
        <v>256</v>
      </c>
      <c r="AS138" s="62" t="s">
        <v>285</v>
      </c>
      <c r="AT138" s="62" t="s">
        <v>259</v>
      </c>
      <c r="AU138" s="327" t="s">
        <v>284</v>
      </c>
      <c r="AV138" s="327" t="s">
        <v>259</v>
      </c>
      <c r="AW138" s="62" t="s">
        <v>256</v>
      </c>
      <c r="AX138" s="62" t="s">
        <v>256</v>
      </c>
      <c r="AY138" s="62" t="s">
        <v>256</v>
      </c>
      <c r="AZ138" s="62" t="s">
        <v>256</v>
      </c>
      <c r="BA138" s="62" t="s">
        <v>256</v>
      </c>
      <c r="BB138" s="62" t="s">
        <v>259</v>
      </c>
      <c r="BC138" s="62" t="s">
        <v>286</v>
      </c>
      <c r="BD138" s="62" t="s">
        <v>248</v>
      </c>
      <c r="BE138" s="62" t="s">
        <v>259</v>
      </c>
      <c r="BF138" s="62" t="s">
        <v>248</v>
      </c>
      <c r="BG138" s="327" t="s">
        <v>256</v>
      </c>
      <c r="BH138" s="327" t="s">
        <v>256</v>
      </c>
      <c r="BI138" s="327" t="s">
        <v>256</v>
      </c>
      <c r="BJ138" s="62" t="s">
        <v>256</v>
      </c>
      <c r="BK138" s="327" t="s">
        <v>256</v>
      </c>
      <c r="BL138" s="327" t="s">
        <v>256</v>
      </c>
      <c r="BM138" s="327" t="s">
        <v>259</v>
      </c>
      <c r="BN138" s="62" t="s">
        <v>256</v>
      </c>
      <c r="BO138" s="62" t="s">
        <v>259</v>
      </c>
      <c r="BP138" s="62" t="s">
        <v>284</v>
      </c>
      <c r="BQ138" s="62" t="s">
        <v>256</v>
      </c>
      <c r="BR138" s="327" t="s">
        <v>256</v>
      </c>
      <c r="BS138" s="327" t="s">
        <v>256</v>
      </c>
      <c r="BT138" s="327" t="s">
        <v>284</v>
      </c>
      <c r="BU138" s="327" t="s">
        <v>256</v>
      </c>
      <c r="BV138" s="327" t="s">
        <v>248</v>
      </c>
      <c r="BW138" s="62" t="s">
        <v>285</v>
      </c>
      <c r="BX138" s="62" t="s">
        <v>287</v>
      </c>
      <c r="BY138" s="62" t="s">
        <v>259</v>
      </c>
      <c r="BZ138" s="62" t="s">
        <v>259</v>
      </c>
      <c r="CA138" s="62">
        <v>1.1000000000000001</v>
      </c>
      <c r="CB138" s="62" t="s">
        <v>254</v>
      </c>
      <c r="CC138" s="62">
        <v>103</v>
      </c>
      <c r="CD138" s="62">
        <v>0.81</v>
      </c>
      <c r="CE138" s="62">
        <v>1.1000000000000001</v>
      </c>
      <c r="CF138" s="62">
        <v>2.6</v>
      </c>
      <c r="CG138" s="62">
        <v>5.6</v>
      </c>
      <c r="CH138" s="62">
        <v>395</v>
      </c>
      <c r="CI138" s="62">
        <v>110</v>
      </c>
      <c r="CJ138" s="62" t="s">
        <v>254</v>
      </c>
      <c r="CK138" s="62">
        <v>33.200000000000003</v>
      </c>
      <c r="CL138" s="62">
        <v>53</v>
      </c>
      <c r="CM138" s="62" t="s">
        <v>288</v>
      </c>
      <c r="CN138" s="62">
        <v>9.6000000000000002E-2</v>
      </c>
      <c r="CO138" s="62">
        <v>2.4</v>
      </c>
      <c r="CP138" s="62">
        <v>2.9</v>
      </c>
      <c r="CQ138" s="62" t="s">
        <v>254</v>
      </c>
      <c r="CR138" s="62" t="s">
        <v>254</v>
      </c>
      <c r="CS138" s="62">
        <v>4.7</v>
      </c>
      <c r="CT138" s="62" t="s">
        <v>284</v>
      </c>
      <c r="CU138" s="62" t="s">
        <v>153</v>
      </c>
      <c r="CV138" s="62">
        <v>200</v>
      </c>
      <c r="CW138" s="62">
        <v>2.4</v>
      </c>
      <c r="CX138" s="62">
        <v>0.89</v>
      </c>
      <c r="CY138" s="62">
        <v>0.2</v>
      </c>
      <c r="CZ138" s="62">
        <v>7.49</v>
      </c>
      <c r="DA138" s="62">
        <v>1.1000000000000001</v>
      </c>
      <c r="DB138" s="62">
        <v>1600</v>
      </c>
      <c r="DC138" s="62">
        <v>240</v>
      </c>
      <c r="DD138" s="62">
        <v>22.3</v>
      </c>
      <c r="DE138" s="62">
        <v>840</v>
      </c>
      <c r="DF138" s="62" t="s">
        <v>289</v>
      </c>
      <c r="DG138" s="62">
        <v>1.8</v>
      </c>
      <c r="DH138" s="62">
        <v>0.66</v>
      </c>
      <c r="DI138" s="62">
        <v>1120</v>
      </c>
      <c r="DJ138" s="62">
        <v>210</v>
      </c>
      <c r="DK138" s="62" t="s">
        <v>416</v>
      </c>
      <c r="DL138" s="62" t="s">
        <v>330</v>
      </c>
      <c r="DM138" s="62">
        <v>6.49</v>
      </c>
      <c r="DN138" s="328">
        <v>8.0399999999999991</v>
      </c>
      <c r="DO138" s="328">
        <v>1331</v>
      </c>
      <c r="DP138" s="328">
        <v>22.09</v>
      </c>
      <c r="DQ138" s="328">
        <v>0.82</v>
      </c>
    </row>
    <row r="139" spans="1:121" hidden="1" x14ac:dyDescent="0.25">
      <c r="A139" s="62" t="s">
        <v>108</v>
      </c>
      <c r="B139" s="56" t="str">
        <f>VLOOKUP(Table3[[#This Row],[Station]], StationName, 2, FALSE)</f>
        <v>J01-9082-2</v>
      </c>
      <c r="C139" s="362">
        <v>1922008</v>
      </c>
      <c r="D139" s="325">
        <v>44446.457638888889</v>
      </c>
      <c r="E139" s="326" t="s">
        <v>293</v>
      </c>
      <c r="F139" s="327" t="s">
        <v>294</v>
      </c>
      <c r="G139" s="327" t="s">
        <v>294</v>
      </c>
      <c r="H139" s="327" t="s">
        <v>294</v>
      </c>
      <c r="I139" s="327" t="s">
        <v>294</v>
      </c>
      <c r="J139" s="327" t="s">
        <v>294</v>
      </c>
      <c r="K139" s="327" t="s">
        <v>294</v>
      </c>
      <c r="L139" s="327" t="s">
        <v>294</v>
      </c>
      <c r="M139" s="327" t="s">
        <v>294</v>
      </c>
      <c r="N139" s="327" t="s">
        <v>294</v>
      </c>
      <c r="O139" s="327" t="s">
        <v>294</v>
      </c>
      <c r="P139" s="62" t="s">
        <v>294</v>
      </c>
      <c r="Q139" s="62" t="s">
        <v>294</v>
      </c>
      <c r="R139" s="62" t="s">
        <v>294</v>
      </c>
      <c r="S139" s="327" t="s">
        <v>294</v>
      </c>
      <c r="T139" s="327" t="s">
        <v>294</v>
      </c>
      <c r="U139" s="327" t="s">
        <v>294</v>
      </c>
      <c r="V139" s="327" t="s">
        <v>294</v>
      </c>
      <c r="W139" s="327" t="s">
        <v>294</v>
      </c>
      <c r="X139" s="327" t="s">
        <v>294</v>
      </c>
      <c r="Y139" s="327" t="s">
        <v>294</v>
      </c>
      <c r="Z139" s="327" t="s">
        <v>294</v>
      </c>
      <c r="AA139" s="327" t="s">
        <v>294</v>
      </c>
      <c r="AB139" s="327" t="s">
        <v>294</v>
      </c>
      <c r="AC139" s="327" t="s">
        <v>294</v>
      </c>
      <c r="AD139" s="327" t="s">
        <v>294</v>
      </c>
      <c r="AE139" s="327" t="s">
        <v>294</v>
      </c>
      <c r="AF139" s="62" t="s">
        <v>294</v>
      </c>
      <c r="AG139" s="62" t="s">
        <v>294</v>
      </c>
      <c r="AH139" s="62" t="s">
        <v>294</v>
      </c>
      <c r="AI139" s="327" t="s">
        <v>294</v>
      </c>
      <c r="AJ139" s="327" t="s">
        <v>294</v>
      </c>
      <c r="AK139" s="327" t="s">
        <v>294</v>
      </c>
      <c r="AL139" s="327" t="s">
        <v>294</v>
      </c>
      <c r="AM139" s="327" t="s">
        <v>294</v>
      </c>
      <c r="AN139" s="327" t="s">
        <v>294</v>
      </c>
      <c r="AO139" s="327" t="s">
        <v>294</v>
      </c>
      <c r="AP139" s="62" t="s">
        <v>294</v>
      </c>
      <c r="AQ139" s="62" t="s">
        <v>294</v>
      </c>
      <c r="AR139" s="62" t="s">
        <v>294</v>
      </c>
      <c r="AS139" s="62" t="s">
        <v>294</v>
      </c>
      <c r="AT139" s="62" t="s">
        <v>294</v>
      </c>
      <c r="AU139" s="327" t="s">
        <v>294</v>
      </c>
      <c r="AV139" s="327" t="s">
        <v>294</v>
      </c>
      <c r="AW139" s="62" t="s">
        <v>294</v>
      </c>
      <c r="AX139" s="62" t="s">
        <v>294</v>
      </c>
      <c r="AY139" s="62" t="s">
        <v>294</v>
      </c>
      <c r="AZ139" s="62" t="s">
        <v>294</v>
      </c>
      <c r="BA139" s="62" t="s">
        <v>294</v>
      </c>
      <c r="BB139" s="62" t="s">
        <v>294</v>
      </c>
      <c r="BC139" s="62" t="s">
        <v>294</v>
      </c>
      <c r="BD139" s="62" t="s">
        <v>294</v>
      </c>
      <c r="BE139" s="62" t="s">
        <v>294</v>
      </c>
      <c r="BF139" s="62" t="s">
        <v>294</v>
      </c>
      <c r="BG139" s="327" t="s">
        <v>294</v>
      </c>
      <c r="BH139" s="327" t="s">
        <v>294</v>
      </c>
      <c r="BI139" s="327" t="s">
        <v>294</v>
      </c>
      <c r="BJ139" s="62" t="s">
        <v>294</v>
      </c>
      <c r="BK139" s="327" t="s">
        <v>294</v>
      </c>
      <c r="BL139" s="327" t="s">
        <v>294</v>
      </c>
      <c r="BM139" s="327" t="s">
        <v>294</v>
      </c>
      <c r="BN139" s="62" t="s">
        <v>294</v>
      </c>
      <c r="BO139" s="62" t="s">
        <v>294</v>
      </c>
      <c r="BP139" s="62" t="s">
        <v>294</v>
      </c>
      <c r="BQ139" s="62" t="s">
        <v>294</v>
      </c>
      <c r="BR139" s="327" t="s">
        <v>294</v>
      </c>
      <c r="BS139" s="327" t="s">
        <v>294</v>
      </c>
      <c r="BT139" s="327" t="s">
        <v>294</v>
      </c>
      <c r="BU139" s="327" t="s">
        <v>294</v>
      </c>
      <c r="BV139" s="327" t="s">
        <v>294</v>
      </c>
      <c r="BW139" s="62" t="s">
        <v>294</v>
      </c>
      <c r="BX139" s="62" t="s">
        <v>294</v>
      </c>
      <c r="BY139" s="62" t="s">
        <v>294</v>
      </c>
      <c r="BZ139" s="62" t="s">
        <v>294</v>
      </c>
      <c r="CA139" s="62">
        <v>1.1000000000000001</v>
      </c>
      <c r="CB139" s="62" t="s">
        <v>254</v>
      </c>
      <c r="CC139" s="62" t="s">
        <v>294</v>
      </c>
      <c r="CD139" s="62">
        <v>0.87</v>
      </c>
      <c r="CE139" s="62">
        <v>0.82</v>
      </c>
      <c r="CF139" s="62">
        <v>1.7</v>
      </c>
      <c r="CG139" s="62" t="s">
        <v>294</v>
      </c>
      <c r="CH139" s="62" t="s">
        <v>294</v>
      </c>
      <c r="CI139" s="62" t="s">
        <v>286</v>
      </c>
      <c r="CJ139" s="62" t="s">
        <v>254</v>
      </c>
      <c r="CK139" s="62" t="s">
        <v>294</v>
      </c>
      <c r="CL139" s="62">
        <v>26</v>
      </c>
      <c r="CM139" s="62" t="s">
        <v>294</v>
      </c>
      <c r="CN139" s="62" t="s">
        <v>288</v>
      </c>
      <c r="CO139" s="62">
        <v>2.2000000000000002</v>
      </c>
      <c r="CP139" s="62">
        <v>2.7</v>
      </c>
      <c r="CQ139" s="62" t="s">
        <v>254</v>
      </c>
      <c r="CR139" s="62" t="s">
        <v>254</v>
      </c>
      <c r="CS139" s="62" t="s">
        <v>294</v>
      </c>
      <c r="CT139" s="62" t="s">
        <v>284</v>
      </c>
      <c r="CU139" s="62" t="s">
        <v>294</v>
      </c>
      <c r="CV139" s="62" t="s">
        <v>294</v>
      </c>
      <c r="CW139" s="62" t="s">
        <v>294</v>
      </c>
      <c r="CX139" s="62" t="s">
        <v>294</v>
      </c>
      <c r="CY139" s="62" t="s">
        <v>294</v>
      </c>
      <c r="CZ139" s="62" t="s">
        <v>294</v>
      </c>
      <c r="DA139" s="62" t="s">
        <v>294</v>
      </c>
      <c r="DB139" s="62" t="s">
        <v>294</v>
      </c>
      <c r="DC139" s="62" t="s">
        <v>294</v>
      </c>
      <c r="DD139" s="62" t="s">
        <v>294</v>
      </c>
      <c r="DE139" s="62" t="s">
        <v>294</v>
      </c>
      <c r="DF139" s="62" t="s">
        <v>294</v>
      </c>
      <c r="DG139" s="62" t="s">
        <v>294</v>
      </c>
      <c r="DH139" s="62" t="s">
        <v>294</v>
      </c>
      <c r="DI139" s="62" t="s">
        <v>294</v>
      </c>
      <c r="DJ139" s="62" t="s">
        <v>294</v>
      </c>
      <c r="DK139" s="62" t="s">
        <v>294</v>
      </c>
      <c r="DL139" s="62" t="s">
        <v>294</v>
      </c>
      <c r="DM139" s="62" t="s">
        <v>294</v>
      </c>
      <c r="DN139" s="328" t="s">
        <v>294</v>
      </c>
      <c r="DO139" s="328" t="s">
        <v>294</v>
      </c>
      <c r="DP139" s="328" t="s">
        <v>294</v>
      </c>
      <c r="DQ139" s="328" t="s">
        <v>294</v>
      </c>
    </row>
    <row r="140" spans="1:121" x14ac:dyDescent="0.25">
      <c r="A140" s="62" t="s">
        <v>327</v>
      </c>
      <c r="B140" s="56" t="str">
        <f>VLOOKUP(Table3[[#This Row],[Station]], StationName, 2, FALSE)</f>
        <v>J06-9362-1 (J06-03)</v>
      </c>
      <c r="C140" s="362">
        <v>1921001</v>
      </c>
      <c r="D140" s="325">
        <v>44448.370833333334</v>
      </c>
      <c r="E140" s="326" t="s">
        <v>283</v>
      </c>
      <c r="F140" s="327">
        <v>83</v>
      </c>
      <c r="G140" s="327">
        <v>106</v>
      </c>
      <c r="H140" s="327">
        <v>92</v>
      </c>
      <c r="I140" s="327">
        <v>85</v>
      </c>
      <c r="J140" s="327">
        <v>64</v>
      </c>
      <c r="K140" s="327">
        <v>65</v>
      </c>
      <c r="L140" s="327">
        <v>75</v>
      </c>
      <c r="M140" s="327">
        <v>80</v>
      </c>
      <c r="N140" s="327">
        <v>51</v>
      </c>
      <c r="O140" s="327" t="s">
        <v>259</v>
      </c>
      <c r="P140" s="62" t="s">
        <v>259</v>
      </c>
      <c r="Q140" s="62" t="s">
        <v>259</v>
      </c>
      <c r="R140" s="62" t="s">
        <v>259</v>
      </c>
      <c r="S140" s="327" t="s">
        <v>259</v>
      </c>
      <c r="T140" s="327" t="s">
        <v>259</v>
      </c>
      <c r="U140" s="327" t="s">
        <v>256</v>
      </c>
      <c r="V140" s="327" t="s">
        <v>256</v>
      </c>
      <c r="W140" s="327" t="s">
        <v>256</v>
      </c>
      <c r="X140" s="327" t="s">
        <v>256</v>
      </c>
      <c r="Y140" s="327" t="s">
        <v>284</v>
      </c>
      <c r="Z140" s="327" t="s">
        <v>256</v>
      </c>
      <c r="AA140" s="327" t="s">
        <v>256</v>
      </c>
      <c r="AB140" s="327" t="s">
        <v>256</v>
      </c>
      <c r="AC140" s="327" t="s">
        <v>256</v>
      </c>
      <c r="AD140" s="327" t="s">
        <v>256</v>
      </c>
      <c r="AE140" s="327" t="s">
        <v>256</v>
      </c>
      <c r="AF140" s="62" t="s">
        <v>256</v>
      </c>
      <c r="AG140" s="62" t="s">
        <v>256</v>
      </c>
      <c r="AH140" s="62" t="s">
        <v>256</v>
      </c>
      <c r="AI140" s="327" t="s">
        <v>256</v>
      </c>
      <c r="AJ140" s="327" t="s">
        <v>248</v>
      </c>
      <c r="AK140" s="327" t="s">
        <v>259</v>
      </c>
      <c r="AL140" s="327" t="s">
        <v>259</v>
      </c>
      <c r="AM140" s="327" t="s">
        <v>251</v>
      </c>
      <c r="AN140" s="327" t="s">
        <v>256</v>
      </c>
      <c r="AO140" s="327" t="s">
        <v>259</v>
      </c>
      <c r="AP140" s="62" t="s">
        <v>251</v>
      </c>
      <c r="AQ140" s="62" t="s">
        <v>256</v>
      </c>
      <c r="AR140" s="62" t="s">
        <v>256</v>
      </c>
      <c r="AS140" s="62" t="s">
        <v>285</v>
      </c>
      <c r="AT140" s="62" t="s">
        <v>259</v>
      </c>
      <c r="AU140" s="327" t="s">
        <v>284</v>
      </c>
      <c r="AV140" s="327" t="s">
        <v>259</v>
      </c>
      <c r="AW140" s="62" t="s">
        <v>256</v>
      </c>
      <c r="AX140" s="62" t="s">
        <v>256</v>
      </c>
      <c r="AY140" s="62" t="s">
        <v>256</v>
      </c>
      <c r="AZ140" s="62" t="s">
        <v>256</v>
      </c>
      <c r="BA140" s="62" t="s">
        <v>256</v>
      </c>
      <c r="BB140" s="62" t="s">
        <v>259</v>
      </c>
      <c r="BC140" s="62" t="s">
        <v>286</v>
      </c>
      <c r="BD140" s="62" t="s">
        <v>248</v>
      </c>
      <c r="BE140" s="62" t="s">
        <v>259</v>
      </c>
      <c r="BF140" s="62" t="s">
        <v>248</v>
      </c>
      <c r="BG140" s="327" t="s">
        <v>256</v>
      </c>
      <c r="BH140" s="327" t="s">
        <v>256</v>
      </c>
      <c r="BI140" s="327" t="s">
        <v>256</v>
      </c>
      <c r="BJ140" s="62" t="s">
        <v>256</v>
      </c>
      <c r="BK140" s="327" t="s">
        <v>256</v>
      </c>
      <c r="BL140" s="327" t="s">
        <v>256</v>
      </c>
      <c r="BM140" s="327" t="s">
        <v>259</v>
      </c>
      <c r="BN140" s="62" t="s">
        <v>256</v>
      </c>
      <c r="BO140" s="62" t="s">
        <v>259</v>
      </c>
      <c r="BP140" s="62" t="s">
        <v>284</v>
      </c>
      <c r="BQ140" s="62" t="s">
        <v>256</v>
      </c>
      <c r="BR140" s="327" t="s">
        <v>256</v>
      </c>
      <c r="BS140" s="327" t="s">
        <v>256</v>
      </c>
      <c r="BT140" s="327" t="s">
        <v>284</v>
      </c>
      <c r="BU140" s="327" t="s">
        <v>256</v>
      </c>
      <c r="BV140" s="327" t="s">
        <v>248</v>
      </c>
      <c r="BW140" s="62" t="s">
        <v>285</v>
      </c>
      <c r="BX140" s="62" t="s">
        <v>287</v>
      </c>
      <c r="BY140" s="62" t="s">
        <v>259</v>
      </c>
      <c r="BZ140" s="62" t="s">
        <v>259</v>
      </c>
      <c r="CA140" s="62">
        <v>7</v>
      </c>
      <c r="CB140" s="62">
        <v>0.32</v>
      </c>
      <c r="CC140" s="62">
        <v>202</v>
      </c>
      <c r="CD140" s="62">
        <v>0.34</v>
      </c>
      <c r="CE140" s="62">
        <v>0.49</v>
      </c>
      <c r="CF140" s="62">
        <v>3.3</v>
      </c>
      <c r="CG140" s="62">
        <v>4.0999999999999996</v>
      </c>
      <c r="CH140" s="62">
        <v>774</v>
      </c>
      <c r="CI140" s="62">
        <v>89</v>
      </c>
      <c r="CJ140" s="62" t="s">
        <v>254</v>
      </c>
      <c r="CK140" s="62">
        <v>65.599999999999994</v>
      </c>
      <c r="CL140" s="62">
        <v>140</v>
      </c>
      <c r="CM140" s="62" t="s">
        <v>288</v>
      </c>
      <c r="CN140" s="62" t="s">
        <v>288</v>
      </c>
      <c r="CO140" s="62">
        <v>3.8</v>
      </c>
      <c r="CP140" s="62">
        <v>7.2</v>
      </c>
      <c r="CQ140" s="62" t="s">
        <v>254</v>
      </c>
      <c r="CR140" s="62" t="s">
        <v>254</v>
      </c>
      <c r="CS140" s="62">
        <v>3.4</v>
      </c>
      <c r="CT140" s="62" t="s">
        <v>284</v>
      </c>
      <c r="CU140" s="62">
        <v>0.23</v>
      </c>
      <c r="CV140" s="62">
        <v>330</v>
      </c>
      <c r="CW140" s="62">
        <v>1.9</v>
      </c>
      <c r="CX140" s="62">
        <v>0.84</v>
      </c>
      <c r="CY140" s="62">
        <v>8.6999999999999994E-2</v>
      </c>
      <c r="CZ140" s="62">
        <v>7.6</v>
      </c>
      <c r="DA140" s="62">
        <v>0.77</v>
      </c>
      <c r="DB140" s="62">
        <v>3000</v>
      </c>
      <c r="DC140" s="62">
        <v>590</v>
      </c>
      <c r="DD140" s="62">
        <v>23.6</v>
      </c>
      <c r="DE140" s="62">
        <v>1800</v>
      </c>
      <c r="DF140" s="62" t="s">
        <v>289</v>
      </c>
      <c r="DG140" s="62">
        <v>2.2999999999999998</v>
      </c>
      <c r="DH140" s="62">
        <v>1</v>
      </c>
      <c r="DI140" s="62">
        <v>760</v>
      </c>
      <c r="DJ140" s="62">
        <v>2600</v>
      </c>
      <c r="DK140" s="62">
        <v>5900</v>
      </c>
      <c r="DL140" s="62" t="s">
        <v>417</v>
      </c>
      <c r="DM140" s="62">
        <v>5.61</v>
      </c>
      <c r="DN140" s="328">
        <v>7.95</v>
      </c>
      <c r="DO140" s="328">
        <v>2505</v>
      </c>
      <c r="DP140" s="328">
        <v>22.39</v>
      </c>
      <c r="DQ140" s="328">
        <v>2.13</v>
      </c>
    </row>
    <row r="141" spans="1:121" hidden="1" x14ac:dyDescent="0.25">
      <c r="A141" s="62" t="s">
        <v>327</v>
      </c>
      <c r="B141" s="56" t="str">
        <f>VLOOKUP(Table3[[#This Row],[Station]], StationName, 2, FALSE)</f>
        <v>J06-9362-1 (J06-03)</v>
      </c>
      <c r="C141" s="362">
        <v>1921004</v>
      </c>
      <c r="D141" s="325">
        <v>44448.370833333334</v>
      </c>
      <c r="E141" s="326" t="s">
        <v>293</v>
      </c>
      <c r="F141" s="327" t="s">
        <v>294</v>
      </c>
      <c r="G141" s="327" t="s">
        <v>294</v>
      </c>
      <c r="H141" s="327" t="s">
        <v>294</v>
      </c>
      <c r="I141" s="327" t="s">
        <v>294</v>
      </c>
      <c r="J141" s="327" t="s">
        <v>294</v>
      </c>
      <c r="K141" s="327" t="s">
        <v>294</v>
      </c>
      <c r="L141" s="327" t="s">
        <v>294</v>
      </c>
      <c r="M141" s="327" t="s">
        <v>294</v>
      </c>
      <c r="N141" s="327" t="s">
        <v>294</v>
      </c>
      <c r="O141" s="327" t="s">
        <v>294</v>
      </c>
      <c r="P141" s="62" t="s">
        <v>294</v>
      </c>
      <c r="Q141" s="62" t="s">
        <v>294</v>
      </c>
      <c r="R141" s="62" t="s">
        <v>294</v>
      </c>
      <c r="S141" s="327" t="s">
        <v>294</v>
      </c>
      <c r="T141" s="327" t="s">
        <v>294</v>
      </c>
      <c r="U141" s="327" t="s">
        <v>294</v>
      </c>
      <c r="V141" s="327" t="s">
        <v>294</v>
      </c>
      <c r="W141" s="327" t="s">
        <v>294</v>
      </c>
      <c r="X141" s="327" t="s">
        <v>294</v>
      </c>
      <c r="Y141" s="327" t="s">
        <v>294</v>
      </c>
      <c r="Z141" s="327" t="s">
        <v>294</v>
      </c>
      <c r="AA141" s="327" t="s">
        <v>294</v>
      </c>
      <c r="AB141" s="327" t="s">
        <v>294</v>
      </c>
      <c r="AC141" s="327" t="s">
        <v>294</v>
      </c>
      <c r="AD141" s="327" t="s">
        <v>294</v>
      </c>
      <c r="AE141" s="327" t="s">
        <v>294</v>
      </c>
      <c r="AF141" s="62" t="s">
        <v>294</v>
      </c>
      <c r="AG141" s="62" t="s">
        <v>294</v>
      </c>
      <c r="AH141" s="62" t="s">
        <v>294</v>
      </c>
      <c r="AI141" s="327" t="s">
        <v>294</v>
      </c>
      <c r="AJ141" s="327" t="s">
        <v>294</v>
      </c>
      <c r="AK141" s="327" t="s">
        <v>294</v>
      </c>
      <c r="AL141" s="327" t="s">
        <v>294</v>
      </c>
      <c r="AM141" s="327" t="s">
        <v>294</v>
      </c>
      <c r="AN141" s="327" t="s">
        <v>294</v>
      </c>
      <c r="AO141" s="327" t="s">
        <v>294</v>
      </c>
      <c r="AP141" s="62" t="s">
        <v>294</v>
      </c>
      <c r="AQ141" s="62" t="s">
        <v>294</v>
      </c>
      <c r="AR141" s="62" t="s">
        <v>294</v>
      </c>
      <c r="AS141" s="62" t="s">
        <v>294</v>
      </c>
      <c r="AT141" s="62" t="s">
        <v>294</v>
      </c>
      <c r="AU141" s="327" t="s">
        <v>294</v>
      </c>
      <c r="AV141" s="327" t="s">
        <v>294</v>
      </c>
      <c r="AW141" s="62" t="s">
        <v>294</v>
      </c>
      <c r="AX141" s="62" t="s">
        <v>294</v>
      </c>
      <c r="AY141" s="62" t="s">
        <v>294</v>
      </c>
      <c r="AZ141" s="62" t="s">
        <v>294</v>
      </c>
      <c r="BA141" s="62" t="s">
        <v>294</v>
      </c>
      <c r="BB141" s="62" t="s">
        <v>294</v>
      </c>
      <c r="BC141" s="62" t="s">
        <v>294</v>
      </c>
      <c r="BD141" s="62" t="s">
        <v>294</v>
      </c>
      <c r="BE141" s="62" t="s">
        <v>294</v>
      </c>
      <c r="BF141" s="62" t="s">
        <v>294</v>
      </c>
      <c r="BG141" s="327" t="s">
        <v>294</v>
      </c>
      <c r="BH141" s="327" t="s">
        <v>294</v>
      </c>
      <c r="BI141" s="327" t="s">
        <v>294</v>
      </c>
      <c r="BJ141" s="62" t="s">
        <v>294</v>
      </c>
      <c r="BK141" s="327" t="s">
        <v>294</v>
      </c>
      <c r="BL141" s="327" t="s">
        <v>294</v>
      </c>
      <c r="BM141" s="327" t="s">
        <v>294</v>
      </c>
      <c r="BN141" s="62" t="s">
        <v>294</v>
      </c>
      <c r="BO141" s="62" t="s">
        <v>294</v>
      </c>
      <c r="BP141" s="62" t="s">
        <v>294</v>
      </c>
      <c r="BQ141" s="62" t="s">
        <v>294</v>
      </c>
      <c r="BR141" s="327" t="s">
        <v>294</v>
      </c>
      <c r="BS141" s="327" t="s">
        <v>294</v>
      </c>
      <c r="BT141" s="327" t="s">
        <v>294</v>
      </c>
      <c r="BU141" s="327" t="s">
        <v>294</v>
      </c>
      <c r="BV141" s="327" t="s">
        <v>294</v>
      </c>
      <c r="BW141" s="62" t="s">
        <v>294</v>
      </c>
      <c r="BX141" s="62" t="s">
        <v>294</v>
      </c>
      <c r="BY141" s="62" t="s">
        <v>294</v>
      </c>
      <c r="BZ141" s="62" t="s">
        <v>294</v>
      </c>
      <c r="CA141" s="62">
        <v>7.2</v>
      </c>
      <c r="CB141" s="62">
        <v>0.2</v>
      </c>
      <c r="CC141" s="62" t="s">
        <v>294</v>
      </c>
      <c r="CD141" s="62">
        <v>0.25</v>
      </c>
      <c r="CE141" s="62">
        <v>0.34</v>
      </c>
      <c r="CF141" s="62">
        <v>2</v>
      </c>
      <c r="CG141" s="62" t="s">
        <v>294</v>
      </c>
      <c r="CH141" s="62" t="s">
        <v>294</v>
      </c>
      <c r="CI141" s="62" t="s">
        <v>286</v>
      </c>
      <c r="CJ141" s="62" t="s">
        <v>254</v>
      </c>
      <c r="CK141" s="62" t="s">
        <v>294</v>
      </c>
      <c r="CL141" s="62">
        <v>120</v>
      </c>
      <c r="CM141" s="62" t="s">
        <v>294</v>
      </c>
      <c r="CN141" s="62" t="s">
        <v>288</v>
      </c>
      <c r="CO141" s="62">
        <v>3.6</v>
      </c>
      <c r="CP141" s="62">
        <v>7</v>
      </c>
      <c r="CQ141" s="62" t="s">
        <v>254</v>
      </c>
      <c r="CR141" s="62" t="s">
        <v>254</v>
      </c>
      <c r="CS141" s="62" t="s">
        <v>294</v>
      </c>
      <c r="CT141" s="62" t="s">
        <v>284</v>
      </c>
      <c r="CU141" s="62" t="s">
        <v>294</v>
      </c>
      <c r="CV141" s="62" t="s">
        <v>294</v>
      </c>
      <c r="CW141" s="62" t="s">
        <v>294</v>
      </c>
      <c r="CX141" s="62" t="s">
        <v>294</v>
      </c>
      <c r="CY141" s="62" t="s">
        <v>294</v>
      </c>
      <c r="CZ141" s="62" t="s">
        <v>294</v>
      </c>
      <c r="DA141" s="62" t="s">
        <v>294</v>
      </c>
      <c r="DB141" s="62" t="s">
        <v>294</v>
      </c>
      <c r="DC141" s="62" t="s">
        <v>294</v>
      </c>
      <c r="DD141" s="62" t="s">
        <v>294</v>
      </c>
      <c r="DE141" s="62" t="s">
        <v>294</v>
      </c>
      <c r="DF141" s="62" t="s">
        <v>294</v>
      </c>
      <c r="DG141" s="62" t="s">
        <v>294</v>
      </c>
      <c r="DH141" s="62" t="s">
        <v>294</v>
      </c>
      <c r="DI141" s="62" t="s">
        <v>294</v>
      </c>
      <c r="DJ141" s="62" t="s">
        <v>294</v>
      </c>
      <c r="DK141" s="62" t="s">
        <v>294</v>
      </c>
      <c r="DL141" s="62" t="s">
        <v>294</v>
      </c>
      <c r="DM141" s="62" t="s">
        <v>294</v>
      </c>
      <c r="DN141" s="328" t="s">
        <v>294</v>
      </c>
      <c r="DO141" s="328" t="s">
        <v>294</v>
      </c>
      <c r="DP141" s="328" t="s">
        <v>294</v>
      </c>
      <c r="DQ141" s="328" t="s">
        <v>294</v>
      </c>
    </row>
    <row r="142" spans="1:121" x14ac:dyDescent="0.25">
      <c r="A142" s="62" t="s">
        <v>150</v>
      </c>
      <c r="B142" s="56" t="str">
        <f>VLOOKUP(Table3[[#This Row],[Station]], StationName, 2, FALSE)</f>
        <v>L03-073-3</v>
      </c>
      <c r="C142" s="362">
        <v>1853001</v>
      </c>
      <c r="D142" s="325">
        <v>44448.37222222222</v>
      </c>
      <c r="E142" s="326" t="s">
        <v>283</v>
      </c>
      <c r="F142" s="327">
        <v>79</v>
      </c>
      <c r="G142" s="327">
        <v>101</v>
      </c>
      <c r="H142" s="327">
        <v>85</v>
      </c>
      <c r="I142" s="327">
        <v>83</v>
      </c>
      <c r="J142" s="327">
        <v>65</v>
      </c>
      <c r="K142" s="327">
        <v>76</v>
      </c>
      <c r="L142" s="327">
        <v>88</v>
      </c>
      <c r="M142" s="327">
        <v>98</v>
      </c>
      <c r="N142" s="327">
        <v>64</v>
      </c>
      <c r="O142" s="327" t="s">
        <v>259</v>
      </c>
      <c r="P142" s="62" t="s">
        <v>259</v>
      </c>
      <c r="Q142" s="62" t="s">
        <v>259</v>
      </c>
      <c r="R142" s="62" t="s">
        <v>259</v>
      </c>
      <c r="S142" s="327" t="s">
        <v>259</v>
      </c>
      <c r="T142" s="327" t="s">
        <v>259</v>
      </c>
      <c r="U142" s="327" t="s">
        <v>256</v>
      </c>
      <c r="V142" s="327" t="s">
        <v>256</v>
      </c>
      <c r="W142" s="327" t="s">
        <v>256</v>
      </c>
      <c r="X142" s="327" t="s">
        <v>256</v>
      </c>
      <c r="Y142" s="327" t="s">
        <v>284</v>
      </c>
      <c r="Z142" s="327" t="s">
        <v>256</v>
      </c>
      <c r="AA142" s="327" t="s">
        <v>256</v>
      </c>
      <c r="AB142" s="327" t="s">
        <v>256</v>
      </c>
      <c r="AC142" s="327" t="s">
        <v>256</v>
      </c>
      <c r="AD142" s="327" t="s">
        <v>256</v>
      </c>
      <c r="AE142" s="327" t="s">
        <v>256</v>
      </c>
      <c r="AF142" s="62" t="s">
        <v>256</v>
      </c>
      <c r="AG142" s="62" t="s">
        <v>256</v>
      </c>
      <c r="AH142" s="62" t="s">
        <v>256</v>
      </c>
      <c r="AI142" s="327" t="s">
        <v>256</v>
      </c>
      <c r="AJ142" s="327" t="s">
        <v>248</v>
      </c>
      <c r="AK142" s="327" t="s">
        <v>259</v>
      </c>
      <c r="AL142" s="327" t="s">
        <v>259</v>
      </c>
      <c r="AM142" s="327" t="s">
        <v>251</v>
      </c>
      <c r="AN142" s="327" t="s">
        <v>256</v>
      </c>
      <c r="AO142" s="327" t="s">
        <v>259</v>
      </c>
      <c r="AP142" s="62" t="s">
        <v>251</v>
      </c>
      <c r="AQ142" s="62" t="s">
        <v>256</v>
      </c>
      <c r="AR142" s="62" t="s">
        <v>256</v>
      </c>
      <c r="AS142" s="62" t="s">
        <v>285</v>
      </c>
      <c r="AT142" s="62" t="s">
        <v>259</v>
      </c>
      <c r="AU142" s="327" t="s">
        <v>284</v>
      </c>
      <c r="AV142" s="327" t="s">
        <v>259</v>
      </c>
      <c r="AW142" s="62" t="s">
        <v>256</v>
      </c>
      <c r="AX142" s="62" t="s">
        <v>256</v>
      </c>
      <c r="AY142" s="62" t="s">
        <v>256</v>
      </c>
      <c r="AZ142" s="62" t="s">
        <v>256</v>
      </c>
      <c r="BA142" s="62" t="s">
        <v>256</v>
      </c>
      <c r="BB142" s="62" t="s">
        <v>259</v>
      </c>
      <c r="BC142" s="62" t="s">
        <v>286</v>
      </c>
      <c r="BD142" s="62" t="s">
        <v>248</v>
      </c>
      <c r="BE142" s="62" t="s">
        <v>259</v>
      </c>
      <c r="BF142" s="62" t="s">
        <v>248</v>
      </c>
      <c r="BG142" s="327" t="s">
        <v>256</v>
      </c>
      <c r="BH142" s="327" t="s">
        <v>256</v>
      </c>
      <c r="BI142" s="327" t="s">
        <v>256</v>
      </c>
      <c r="BJ142" s="62" t="s">
        <v>256</v>
      </c>
      <c r="BK142" s="327" t="s">
        <v>256</v>
      </c>
      <c r="BL142" s="327" t="s">
        <v>256</v>
      </c>
      <c r="BM142" s="327" t="s">
        <v>259</v>
      </c>
      <c r="BN142" s="62" t="s">
        <v>256</v>
      </c>
      <c r="BO142" s="62" t="s">
        <v>259</v>
      </c>
      <c r="BP142" s="62" t="s">
        <v>284</v>
      </c>
      <c r="BQ142" s="62" t="s">
        <v>256</v>
      </c>
      <c r="BR142" s="327" t="s">
        <v>256</v>
      </c>
      <c r="BS142" s="327" t="s">
        <v>256</v>
      </c>
      <c r="BT142" s="327" t="s">
        <v>284</v>
      </c>
      <c r="BU142" s="327" t="s">
        <v>256</v>
      </c>
      <c r="BV142" s="327" t="s">
        <v>248</v>
      </c>
      <c r="BW142" s="62" t="s">
        <v>285</v>
      </c>
      <c r="BX142" s="62" t="s">
        <v>287</v>
      </c>
      <c r="BY142" s="62" t="s">
        <v>259</v>
      </c>
      <c r="BZ142" s="62" t="s">
        <v>259</v>
      </c>
      <c r="CA142" s="62">
        <v>4.7</v>
      </c>
      <c r="CB142" s="62">
        <v>0.43</v>
      </c>
      <c r="CC142" s="62">
        <v>410</v>
      </c>
      <c r="CD142" s="62">
        <v>0.95</v>
      </c>
      <c r="CE142" s="62">
        <v>0.99</v>
      </c>
      <c r="CF142" s="62">
        <v>3.2</v>
      </c>
      <c r="CG142" s="62">
        <v>7.5</v>
      </c>
      <c r="CH142" s="62">
        <v>1530</v>
      </c>
      <c r="CI142" s="62">
        <v>38</v>
      </c>
      <c r="CJ142" s="62" t="s">
        <v>254</v>
      </c>
      <c r="CK142" s="62">
        <v>124</v>
      </c>
      <c r="CL142" s="62">
        <v>87</v>
      </c>
      <c r="CM142" s="62" t="s">
        <v>288</v>
      </c>
      <c r="CN142" s="62" t="s">
        <v>288</v>
      </c>
      <c r="CO142" s="62">
        <v>6.6</v>
      </c>
      <c r="CP142" s="62">
        <v>20</v>
      </c>
      <c r="CQ142" s="62" t="s">
        <v>254</v>
      </c>
      <c r="CR142" s="62" t="s">
        <v>254</v>
      </c>
      <c r="CS142" s="62">
        <v>7</v>
      </c>
      <c r="CT142" s="62" t="s">
        <v>284</v>
      </c>
      <c r="CU142" s="62" t="s">
        <v>153</v>
      </c>
      <c r="CV142" s="62">
        <v>430</v>
      </c>
      <c r="CW142" s="62">
        <v>0.64</v>
      </c>
      <c r="CX142" s="62">
        <v>0.84</v>
      </c>
      <c r="CY142" s="62">
        <v>0.22</v>
      </c>
      <c r="CZ142" s="62">
        <v>7.46</v>
      </c>
      <c r="DA142" s="62">
        <v>0.75</v>
      </c>
      <c r="DB142" s="62">
        <v>4300</v>
      </c>
      <c r="DC142" s="62">
        <v>1400</v>
      </c>
      <c r="DD142" s="62">
        <v>23.5</v>
      </c>
      <c r="DE142" s="62">
        <v>3000</v>
      </c>
      <c r="DF142" s="62" t="s">
        <v>289</v>
      </c>
      <c r="DG142" s="62">
        <v>3</v>
      </c>
      <c r="DH142" s="62">
        <v>0.7</v>
      </c>
      <c r="DI142" s="62">
        <v>7100</v>
      </c>
      <c r="DJ142" s="62">
        <v>3400</v>
      </c>
      <c r="DK142" s="62">
        <v>4000</v>
      </c>
      <c r="DL142" s="62">
        <v>24000</v>
      </c>
      <c r="DM142" s="62">
        <v>8.42</v>
      </c>
      <c r="DN142" s="328">
        <v>7.98</v>
      </c>
      <c r="DO142" s="328">
        <v>3662</v>
      </c>
      <c r="DP142" s="328">
        <v>21.5</v>
      </c>
      <c r="DQ142" s="328">
        <v>2.9</v>
      </c>
    </row>
    <row r="143" spans="1:121" hidden="1" x14ac:dyDescent="0.25">
      <c r="A143" s="62" t="s">
        <v>150</v>
      </c>
      <c r="B143" s="56" t="str">
        <f>VLOOKUP(Table3[[#This Row],[Station]], StationName, 2, FALSE)</f>
        <v>L03-073-3</v>
      </c>
      <c r="C143" s="362">
        <v>1853004</v>
      </c>
      <c r="D143" s="325">
        <v>44448.37222222222</v>
      </c>
      <c r="E143" s="326" t="s">
        <v>293</v>
      </c>
      <c r="F143" s="327" t="s">
        <v>294</v>
      </c>
      <c r="G143" s="327" t="s">
        <v>294</v>
      </c>
      <c r="H143" s="327" t="s">
        <v>294</v>
      </c>
      <c r="I143" s="327" t="s">
        <v>294</v>
      </c>
      <c r="J143" s="327" t="s">
        <v>294</v>
      </c>
      <c r="K143" s="327" t="s">
        <v>294</v>
      </c>
      <c r="L143" s="327" t="s">
        <v>294</v>
      </c>
      <c r="M143" s="327" t="s">
        <v>294</v>
      </c>
      <c r="N143" s="327" t="s">
        <v>294</v>
      </c>
      <c r="O143" s="327" t="s">
        <v>294</v>
      </c>
      <c r="P143" s="62" t="s">
        <v>294</v>
      </c>
      <c r="Q143" s="62" t="s">
        <v>294</v>
      </c>
      <c r="R143" s="62" t="s">
        <v>294</v>
      </c>
      <c r="S143" s="327" t="s">
        <v>294</v>
      </c>
      <c r="T143" s="327" t="s">
        <v>294</v>
      </c>
      <c r="U143" s="327" t="s">
        <v>294</v>
      </c>
      <c r="V143" s="327" t="s">
        <v>294</v>
      </c>
      <c r="W143" s="327" t="s">
        <v>294</v>
      </c>
      <c r="X143" s="327" t="s">
        <v>294</v>
      </c>
      <c r="Y143" s="327" t="s">
        <v>294</v>
      </c>
      <c r="Z143" s="327" t="s">
        <v>294</v>
      </c>
      <c r="AA143" s="327" t="s">
        <v>294</v>
      </c>
      <c r="AB143" s="327" t="s">
        <v>294</v>
      </c>
      <c r="AC143" s="327" t="s">
        <v>294</v>
      </c>
      <c r="AD143" s="327" t="s">
        <v>294</v>
      </c>
      <c r="AE143" s="327" t="s">
        <v>294</v>
      </c>
      <c r="AF143" s="62" t="s">
        <v>294</v>
      </c>
      <c r="AG143" s="62" t="s">
        <v>294</v>
      </c>
      <c r="AH143" s="62" t="s">
        <v>294</v>
      </c>
      <c r="AI143" s="327" t="s">
        <v>294</v>
      </c>
      <c r="AJ143" s="327" t="s">
        <v>294</v>
      </c>
      <c r="AK143" s="327" t="s">
        <v>294</v>
      </c>
      <c r="AL143" s="327" t="s">
        <v>294</v>
      </c>
      <c r="AM143" s="327" t="s">
        <v>294</v>
      </c>
      <c r="AN143" s="327" t="s">
        <v>294</v>
      </c>
      <c r="AO143" s="327" t="s">
        <v>294</v>
      </c>
      <c r="AP143" s="62" t="s">
        <v>294</v>
      </c>
      <c r="AQ143" s="62" t="s">
        <v>294</v>
      </c>
      <c r="AR143" s="62" t="s">
        <v>294</v>
      </c>
      <c r="AS143" s="62" t="s">
        <v>294</v>
      </c>
      <c r="AT143" s="62" t="s">
        <v>294</v>
      </c>
      <c r="AU143" s="327" t="s">
        <v>294</v>
      </c>
      <c r="AV143" s="327" t="s">
        <v>294</v>
      </c>
      <c r="AW143" s="62" t="s">
        <v>294</v>
      </c>
      <c r="AX143" s="62" t="s">
        <v>294</v>
      </c>
      <c r="AY143" s="62" t="s">
        <v>294</v>
      </c>
      <c r="AZ143" s="62" t="s">
        <v>294</v>
      </c>
      <c r="BA143" s="62" t="s">
        <v>294</v>
      </c>
      <c r="BB143" s="62" t="s">
        <v>294</v>
      </c>
      <c r="BC143" s="62" t="s">
        <v>294</v>
      </c>
      <c r="BD143" s="62" t="s">
        <v>294</v>
      </c>
      <c r="BE143" s="62" t="s">
        <v>294</v>
      </c>
      <c r="BF143" s="62" t="s">
        <v>294</v>
      </c>
      <c r="BG143" s="327" t="s">
        <v>294</v>
      </c>
      <c r="BH143" s="327" t="s">
        <v>294</v>
      </c>
      <c r="BI143" s="327" t="s">
        <v>294</v>
      </c>
      <c r="BJ143" s="62" t="s">
        <v>294</v>
      </c>
      <c r="BK143" s="327" t="s">
        <v>294</v>
      </c>
      <c r="BL143" s="327" t="s">
        <v>294</v>
      </c>
      <c r="BM143" s="327" t="s">
        <v>294</v>
      </c>
      <c r="BN143" s="62" t="s">
        <v>294</v>
      </c>
      <c r="BO143" s="62" t="s">
        <v>294</v>
      </c>
      <c r="BP143" s="62" t="s">
        <v>294</v>
      </c>
      <c r="BQ143" s="62" t="s">
        <v>294</v>
      </c>
      <c r="BR143" s="327" t="s">
        <v>294</v>
      </c>
      <c r="BS143" s="327" t="s">
        <v>294</v>
      </c>
      <c r="BT143" s="327" t="s">
        <v>294</v>
      </c>
      <c r="BU143" s="327" t="s">
        <v>294</v>
      </c>
      <c r="BV143" s="327" t="s">
        <v>294</v>
      </c>
      <c r="BW143" s="62" t="s">
        <v>294</v>
      </c>
      <c r="BX143" s="62" t="s">
        <v>294</v>
      </c>
      <c r="BY143" s="62" t="s">
        <v>294</v>
      </c>
      <c r="BZ143" s="62" t="s">
        <v>294</v>
      </c>
      <c r="CA143" s="62">
        <v>4.8</v>
      </c>
      <c r="CB143" s="62">
        <v>0.47</v>
      </c>
      <c r="CC143" s="62" t="s">
        <v>294</v>
      </c>
      <c r="CD143" s="62">
        <v>0.84</v>
      </c>
      <c r="CE143" s="62">
        <v>0.92</v>
      </c>
      <c r="CF143" s="62">
        <v>2.5</v>
      </c>
      <c r="CG143" s="62" t="s">
        <v>294</v>
      </c>
      <c r="CH143" s="62" t="s">
        <v>294</v>
      </c>
      <c r="CI143" s="62" t="s">
        <v>286</v>
      </c>
      <c r="CJ143" s="62" t="s">
        <v>254</v>
      </c>
      <c r="CK143" s="62" t="s">
        <v>294</v>
      </c>
      <c r="CL143" s="62">
        <v>84</v>
      </c>
      <c r="CM143" s="62" t="s">
        <v>294</v>
      </c>
      <c r="CN143" s="62" t="s">
        <v>288</v>
      </c>
      <c r="CO143" s="62">
        <v>6.3</v>
      </c>
      <c r="CP143" s="62">
        <v>19</v>
      </c>
      <c r="CQ143" s="62" t="s">
        <v>254</v>
      </c>
      <c r="CR143" s="62" t="s">
        <v>254</v>
      </c>
      <c r="CS143" s="62" t="s">
        <v>294</v>
      </c>
      <c r="CT143" s="62" t="s">
        <v>284</v>
      </c>
      <c r="CU143" s="62" t="s">
        <v>294</v>
      </c>
      <c r="CV143" s="62" t="s">
        <v>294</v>
      </c>
      <c r="CW143" s="62" t="s">
        <v>294</v>
      </c>
      <c r="CX143" s="62" t="s">
        <v>294</v>
      </c>
      <c r="CY143" s="62" t="s">
        <v>294</v>
      </c>
      <c r="CZ143" s="62" t="s">
        <v>294</v>
      </c>
      <c r="DA143" s="62" t="s">
        <v>294</v>
      </c>
      <c r="DB143" s="62" t="s">
        <v>294</v>
      </c>
      <c r="DC143" s="62" t="s">
        <v>294</v>
      </c>
      <c r="DD143" s="62" t="s">
        <v>294</v>
      </c>
      <c r="DE143" s="62" t="s">
        <v>294</v>
      </c>
      <c r="DF143" s="62" t="s">
        <v>294</v>
      </c>
      <c r="DG143" s="62" t="s">
        <v>294</v>
      </c>
      <c r="DH143" s="62" t="s">
        <v>294</v>
      </c>
      <c r="DI143" s="62" t="s">
        <v>294</v>
      </c>
      <c r="DJ143" s="62" t="s">
        <v>294</v>
      </c>
      <c r="DK143" s="62" t="s">
        <v>294</v>
      </c>
      <c r="DL143" s="62" t="s">
        <v>294</v>
      </c>
      <c r="DM143" s="62" t="s">
        <v>294</v>
      </c>
      <c r="DN143" s="328" t="s">
        <v>294</v>
      </c>
      <c r="DO143" s="328" t="s">
        <v>294</v>
      </c>
      <c r="DP143" s="328" t="s">
        <v>294</v>
      </c>
      <c r="DQ143" s="328" t="s">
        <v>294</v>
      </c>
    </row>
    <row r="144" spans="1:121" x14ac:dyDescent="0.25">
      <c r="A144" s="62" t="s">
        <v>112</v>
      </c>
      <c r="B144" s="56" t="str">
        <f>VLOOKUP(Table3[[#This Row],[Station]], StationName, 2, FALSE)</f>
        <v>L05-489-3</v>
      </c>
      <c r="C144" s="362">
        <v>1857001</v>
      </c>
      <c r="D144" s="325">
        <v>44448.373611111114</v>
      </c>
      <c r="E144" s="326" t="s">
        <v>283</v>
      </c>
      <c r="F144" s="327">
        <v>58</v>
      </c>
      <c r="G144" s="327">
        <v>87</v>
      </c>
      <c r="H144" s="327">
        <v>92</v>
      </c>
      <c r="I144" s="327">
        <v>75</v>
      </c>
      <c r="J144" s="327">
        <v>41</v>
      </c>
      <c r="K144" s="327">
        <v>38</v>
      </c>
      <c r="L144" s="327">
        <v>63</v>
      </c>
      <c r="M144" s="327">
        <v>53</v>
      </c>
      <c r="N144" s="327">
        <v>34</v>
      </c>
      <c r="O144" s="327" t="s">
        <v>259</v>
      </c>
      <c r="P144" s="62" t="s">
        <v>259</v>
      </c>
      <c r="Q144" s="62" t="s">
        <v>259</v>
      </c>
      <c r="R144" s="62" t="s">
        <v>259</v>
      </c>
      <c r="S144" s="327" t="s">
        <v>259</v>
      </c>
      <c r="T144" s="327" t="s">
        <v>259</v>
      </c>
      <c r="U144" s="327" t="s">
        <v>256</v>
      </c>
      <c r="V144" s="327" t="s">
        <v>256</v>
      </c>
      <c r="W144" s="327" t="s">
        <v>256</v>
      </c>
      <c r="X144" s="327" t="s">
        <v>256</v>
      </c>
      <c r="Y144" s="327" t="s">
        <v>284</v>
      </c>
      <c r="Z144" s="327" t="s">
        <v>256</v>
      </c>
      <c r="AA144" s="327" t="s">
        <v>256</v>
      </c>
      <c r="AB144" s="327" t="s">
        <v>256</v>
      </c>
      <c r="AC144" s="327" t="s">
        <v>256</v>
      </c>
      <c r="AD144" s="327" t="s">
        <v>256</v>
      </c>
      <c r="AE144" s="327" t="s">
        <v>256</v>
      </c>
      <c r="AF144" s="62" t="s">
        <v>256</v>
      </c>
      <c r="AG144" s="62" t="s">
        <v>256</v>
      </c>
      <c r="AH144" s="62" t="s">
        <v>256</v>
      </c>
      <c r="AI144" s="327" t="s">
        <v>256</v>
      </c>
      <c r="AJ144" s="327" t="s">
        <v>248</v>
      </c>
      <c r="AK144" s="327" t="s">
        <v>259</v>
      </c>
      <c r="AL144" s="327" t="s">
        <v>259</v>
      </c>
      <c r="AM144" s="327" t="s">
        <v>251</v>
      </c>
      <c r="AN144" s="327" t="s">
        <v>256</v>
      </c>
      <c r="AO144" s="327" t="s">
        <v>259</v>
      </c>
      <c r="AP144" s="62" t="s">
        <v>251</v>
      </c>
      <c r="AQ144" s="62" t="s">
        <v>256</v>
      </c>
      <c r="AR144" s="62" t="s">
        <v>256</v>
      </c>
      <c r="AS144" s="62" t="s">
        <v>285</v>
      </c>
      <c r="AT144" s="62" t="s">
        <v>259</v>
      </c>
      <c r="AU144" s="327" t="s">
        <v>284</v>
      </c>
      <c r="AV144" s="327" t="s">
        <v>259</v>
      </c>
      <c r="AW144" s="62" t="s">
        <v>256</v>
      </c>
      <c r="AX144" s="62" t="s">
        <v>256</v>
      </c>
      <c r="AY144" s="62" t="s">
        <v>256</v>
      </c>
      <c r="AZ144" s="62" t="s">
        <v>256</v>
      </c>
      <c r="BA144" s="62" t="s">
        <v>256</v>
      </c>
      <c r="BB144" s="62" t="s">
        <v>259</v>
      </c>
      <c r="BC144" s="62" t="s">
        <v>286</v>
      </c>
      <c r="BD144" s="62" t="s">
        <v>248</v>
      </c>
      <c r="BE144" s="62" t="s">
        <v>259</v>
      </c>
      <c r="BF144" s="62" t="s">
        <v>248</v>
      </c>
      <c r="BG144" s="327" t="s">
        <v>256</v>
      </c>
      <c r="BH144" s="327" t="s">
        <v>256</v>
      </c>
      <c r="BI144" s="327" t="s">
        <v>256</v>
      </c>
      <c r="BJ144" s="62" t="s">
        <v>256</v>
      </c>
      <c r="BK144" s="327" t="s">
        <v>256</v>
      </c>
      <c r="BL144" s="327" t="s">
        <v>256</v>
      </c>
      <c r="BM144" s="327" t="s">
        <v>259</v>
      </c>
      <c r="BN144" s="62" t="s">
        <v>256</v>
      </c>
      <c r="BO144" s="62" t="s">
        <v>259</v>
      </c>
      <c r="BP144" s="62" t="s">
        <v>284</v>
      </c>
      <c r="BQ144" s="62" t="s">
        <v>256</v>
      </c>
      <c r="BR144" s="327" t="s">
        <v>256</v>
      </c>
      <c r="BS144" s="327" t="s">
        <v>256</v>
      </c>
      <c r="BT144" s="327" t="s">
        <v>284</v>
      </c>
      <c r="BU144" s="327" t="s">
        <v>256</v>
      </c>
      <c r="BV144" s="327" t="s">
        <v>248</v>
      </c>
      <c r="BW144" s="62" t="s">
        <v>285</v>
      </c>
      <c r="BX144" s="62" t="s">
        <v>287</v>
      </c>
      <c r="BY144" s="62" t="s">
        <v>259</v>
      </c>
      <c r="BZ144" s="62" t="s">
        <v>259</v>
      </c>
      <c r="CA144" s="62">
        <v>3.4</v>
      </c>
      <c r="CB144" s="62">
        <v>0.42</v>
      </c>
      <c r="CC144" s="62">
        <v>190</v>
      </c>
      <c r="CD144" s="62" t="s">
        <v>230</v>
      </c>
      <c r="CE144" s="62">
        <v>0.66</v>
      </c>
      <c r="CF144" s="62">
        <v>2.2999999999999998</v>
      </c>
      <c r="CG144" s="62">
        <v>13</v>
      </c>
      <c r="CH144" s="62">
        <v>879</v>
      </c>
      <c r="CI144" s="62">
        <v>350</v>
      </c>
      <c r="CJ144" s="62" t="s">
        <v>254</v>
      </c>
      <c r="CK144" s="62">
        <v>98.5</v>
      </c>
      <c r="CL144" s="62">
        <v>85</v>
      </c>
      <c r="CM144" s="62">
        <v>6.3E-2</v>
      </c>
      <c r="CN144" s="62" t="s">
        <v>288</v>
      </c>
      <c r="CO144" s="62">
        <v>13</v>
      </c>
      <c r="CP144" s="62">
        <v>14</v>
      </c>
      <c r="CQ144" s="62" t="s">
        <v>254</v>
      </c>
      <c r="CR144" s="62" t="s">
        <v>254</v>
      </c>
      <c r="CS144" s="62">
        <v>9.1999999999999993</v>
      </c>
      <c r="CT144" s="62" t="s">
        <v>284</v>
      </c>
      <c r="CU144" s="62">
        <v>0.56000000000000005</v>
      </c>
      <c r="CV144" s="62">
        <v>360</v>
      </c>
      <c r="CW144" s="62" t="s">
        <v>153</v>
      </c>
      <c r="CX144" s="62">
        <v>3.6</v>
      </c>
      <c r="CY144" s="62" t="s">
        <v>230</v>
      </c>
      <c r="CZ144" s="62">
        <v>7.22</v>
      </c>
      <c r="DA144" s="62">
        <v>1.3</v>
      </c>
      <c r="DB144" s="62">
        <v>3300</v>
      </c>
      <c r="DC144" s="62">
        <v>960</v>
      </c>
      <c r="DD144" s="62">
        <v>23.6</v>
      </c>
      <c r="DE144" s="62">
        <v>2000</v>
      </c>
      <c r="DF144" s="62">
        <v>18</v>
      </c>
      <c r="DG144" s="62">
        <v>35</v>
      </c>
      <c r="DH144" s="62">
        <v>2.8</v>
      </c>
      <c r="DI144" s="62">
        <v>200</v>
      </c>
      <c r="DJ144" s="62">
        <v>110</v>
      </c>
      <c r="DK144" s="62">
        <v>140</v>
      </c>
      <c r="DL144" s="62" t="s">
        <v>418</v>
      </c>
      <c r="DM144" s="62">
        <v>8.7100000000000009</v>
      </c>
      <c r="DN144" s="328">
        <v>8.0500000000000007</v>
      </c>
      <c r="DO144" s="328">
        <v>2855.1</v>
      </c>
      <c r="DP144" s="328">
        <v>23.38</v>
      </c>
      <c r="DQ144" s="328">
        <v>17.2</v>
      </c>
    </row>
    <row r="145" spans="1:121" hidden="1" x14ac:dyDescent="0.25">
      <c r="A145" s="62" t="s">
        <v>112</v>
      </c>
      <c r="B145" s="56" t="str">
        <f>VLOOKUP(Table3[[#This Row],[Station]], StationName, 2, FALSE)</f>
        <v>L05-489-3</v>
      </c>
      <c r="C145" s="362">
        <v>1857004</v>
      </c>
      <c r="D145" s="325">
        <v>44448.373611111114</v>
      </c>
      <c r="E145" s="326" t="s">
        <v>293</v>
      </c>
      <c r="F145" s="327" t="s">
        <v>294</v>
      </c>
      <c r="G145" s="327" t="s">
        <v>294</v>
      </c>
      <c r="H145" s="327" t="s">
        <v>294</v>
      </c>
      <c r="I145" s="327" t="s">
        <v>294</v>
      </c>
      <c r="J145" s="327" t="s">
        <v>294</v>
      </c>
      <c r="K145" s="327" t="s">
        <v>294</v>
      </c>
      <c r="L145" s="327" t="s">
        <v>294</v>
      </c>
      <c r="M145" s="327" t="s">
        <v>294</v>
      </c>
      <c r="N145" s="327" t="s">
        <v>294</v>
      </c>
      <c r="O145" s="327" t="s">
        <v>294</v>
      </c>
      <c r="P145" s="62" t="s">
        <v>294</v>
      </c>
      <c r="Q145" s="62" t="s">
        <v>294</v>
      </c>
      <c r="R145" s="62" t="s">
        <v>294</v>
      </c>
      <c r="S145" s="327" t="s">
        <v>294</v>
      </c>
      <c r="T145" s="327" t="s">
        <v>294</v>
      </c>
      <c r="U145" s="327" t="s">
        <v>294</v>
      </c>
      <c r="V145" s="327" t="s">
        <v>294</v>
      </c>
      <c r="W145" s="327" t="s">
        <v>294</v>
      </c>
      <c r="X145" s="327" t="s">
        <v>294</v>
      </c>
      <c r="Y145" s="327" t="s">
        <v>294</v>
      </c>
      <c r="Z145" s="327" t="s">
        <v>294</v>
      </c>
      <c r="AA145" s="327" t="s">
        <v>294</v>
      </c>
      <c r="AB145" s="327" t="s">
        <v>294</v>
      </c>
      <c r="AC145" s="327" t="s">
        <v>294</v>
      </c>
      <c r="AD145" s="327" t="s">
        <v>294</v>
      </c>
      <c r="AE145" s="327" t="s">
        <v>294</v>
      </c>
      <c r="AF145" s="62" t="s">
        <v>294</v>
      </c>
      <c r="AG145" s="62" t="s">
        <v>294</v>
      </c>
      <c r="AH145" s="62" t="s">
        <v>294</v>
      </c>
      <c r="AI145" s="327" t="s">
        <v>294</v>
      </c>
      <c r="AJ145" s="327" t="s">
        <v>294</v>
      </c>
      <c r="AK145" s="327" t="s">
        <v>294</v>
      </c>
      <c r="AL145" s="327" t="s">
        <v>294</v>
      </c>
      <c r="AM145" s="327" t="s">
        <v>294</v>
      </c>
      <c r="AN145" s="327" t="s">
        <v>294</v>
      </c>
      <c r="AO145" s="327" t="s">
        <v>294</v>
      </c>
      <c r="AP145" s="62" t="s">
        <v>294</v>
      </c>
      <c r="AQ145" s="62" t="s">
        <v>294</v>
      </c>
      <c r="AR145" s="62" t="s">
        <v>294</v>
      </c>
      <c r="AS145" s="62" t="s">
        <v>294</v>
      </c>
      <c r="AT145" s="62" t="s">
        <v>294</v>
      </c>
      <c r="AU145" s="327" t="s">
        <v>294</v>
      </c>
      <c r="AV145" s="327" t="s">
        <v>294</v>
      </c>
      <c r="AW145" s="62" t="s">
        <v>294</v>
      </c>
      <c r="AX145" s="62" t="s">
        <v>294</v>
      </c>
      <c r="AY145" s="62" t="s">
        <v>294</v>
      </c>
      <c r="AZ145" s="62" t="s">
        <v>294</v>
      </c>
      <c r="BA145" s="62" t="s">
        <v>294</v>
      </c>
      <c r="BB145" s="62" t="s">
        <v>294</v>
      </c>
      <c r="BC145" s="62" t="s">
        <v>294</v>
      </c>
      <c r="BD145" s="62" t="s">
        <v>294</v>
      </c>
      <c r="BE145" s="62" t="s">
        <v>294</v>
      </c>
      <c r="BF145" s="62" t="s">
        <v>294</v>
      </c>
      <c r="BG145" s="327" t="s">
        <v>294</v>
      </c>
      <c r="BH145" s="327" t="s">
        <v>294</v>
      </c>
      <c r="BI145" s="327" t="s">
        <v>294</v>
      </c>
      <c r="BJ145" s="62" t="s">
        <v>294</v>
      </c>
      <c r="BK145" s="327" t="s">
        <v>294</v>
      </c>
      <c r="BL145" s="327" t="s">
        <v>294</v>
      </c>
      <c r="BM145" s="327" t="s">
        <v>294</v>
      </c>
      <c r="BN145" s="62" t="s">
        <v>294</v>
      </c>
      <c r="BO145" s="62" t="s">
        <v>294</v>
      </c>
      <c r="BP145" s="62" t="s">
        <v>294</v>
      </c>
      <c r="BQ145" s="62" t="s">
        <v>294</v>
      </c>
      <c r="BR145" s="327" t="s">
        <v>294</v>
      </c>
      <c r="BS145" s="327" t="s">
        <v>294</v>
      </c>
      <c r="BT145" s="327" t="s">
        <v>294</v>
      </c>
      <c r="BU145" s="327" t="s">
        <v>294</v>
      </c>
      <c r="BV145" s="327" t="s">
        <v>294</v>
      </c>
      <c r="BW145" s="62" t="s">
        <v>294</v>
      </c>
      <c r="BX145" s="62" t="s">
        <v>294</v>
      </c>
      <c r="BY145" s="62" t="s">
        <v>294</v>
      </c>
      <c r="BZ145" s="62" t="s">
        <v>294</v>
      </c>
      <c r="CA145" s="62">
        <v>3</v>
      </c>
      <c r="CB145" s="62">
        <v>0.2</v>
      </c>
      <c r="CC145" s="62" t="s">
        <v>294</v>
      </c>
      <c r="CD145" s="62" t="s">
        <v>230</v>
      </c>
      <c r="CE145" s="62" t="s">
        <v>254</v>
      </c>
      <c r="CF145" s="62">
        <v>1.3</v>
      </c>
      <c r="CG145" s="62" t="s">
        <v>294</v>
      </c>
      <c r="CH145" s="62" t="s">
        <v>294</v>
      </c>
      <c r="CI145" s="62" t="s">
        <v>286</v>
      </c>
      <c r="CJ145" s="62" t="s">
        <v>254</v>
      </c>
      <c r="CK145" s="62" t="s">
        <v>294</v>
      </c>
      <c r="CL145" s="62">
        <v>47</v>
      </c>
      <c r="CM145" s="62" t="s">
        <v>294</v>
      </c>
      <c r="CN145" s="62" t="s">
        <v>288</v>
      </c>
      <c r="CO145" s="62">
        <v>12</v>
      </c>
      <c r="CP145" s="62">
        <v>13</v>
      </c>
      <c r="CQ145" s="62" t="s">
        <v>254</v>
      </c>
      <c r="CR145" s="62" t="s">
        <v>254</v>
      </c>
      <c r="CS145" s="62" t="s">
        <v>294</v>
      </c>
      <c r="CT145" s="62" t="s">
        <v>284</v>
      </c>
      <c r="CU145" s="62" t="s">
        <v>294</v>
      </c>
      <c r="CV145" s="62" t="s">
        <v>294</v>
      </c>
      <c r="CW145" s="62" t="s">
        <v>294</v>
      </c>
      <c r="CX145" s="62" t="s">
        <v>294</v>
      </c>
      <c r="CY145" s="62" t="s">
        <v>294</v>
      </c>
      <c r="CZ145" s="62" t="s">
        <v>294</v>
      </c>
      <c r="DA145" s="62" t="s">
        <v>294</v>
      </c>
      <c r="DB145" s="62" t="s">
        <v>294</v>
      </c>
      <c r="DC145" s="62" t="s">
        <v>294</v>
      </c>
      <c r="DD145" s="62" t="s">
        <v>294</v>
      </c>
      <c r="DE145" s="62" t="s">
        <v>294</v>
      </c>
      <c r="DF145" s="62" t="s">
        <v>294</v>
      </c>
      <c r="DG145" s="62" t="s">
        <v>294</v>
      </c>
      <c r="DH145" s="62" t="s">
        <v>294</v>
      </c>
      <c r="DI145" s="62" t="s">
        <v>294</v>
      </c>
      <c r="DJ145" s="62" t="s">
        <v>294</v>
      </c>
      <c r="DK145" s="62" t="s">
        <v>294</v>
      </c>
      <c r="DL145" s="62" t="s">
        <v>294</v>
      </c>
      <c r="DM145" s="62" t="s">
        <v>294</v>
      </c>
      <c r="DN145" s="328" t="s">
        <v>294</v>
      </c>
      <c r="DO145" s="328" t="s">
        <v>294</v>
      </c>
      <c r="DP145" s="328" t="s">
        <v>294</v>
      </c>
      <c r="DQ145" s="328" t="s">
        <v>294</v>
      </c>
    </row>
    <row r="146" spans="1:121" x14ac:dyDescent="0.25">
      <c r="A146" s="62" t="s">
        <v>113</v>
      </c>
      <c r="B146" s="56" t="str">
        <f>VLOOKUP(Table3[[#This Row],[Station]], StationName, 2, FALSE)</f>
        <v>L05-049-1</v>
      </c>
      <c r="C146" s="362">
        <v>1857002</v>
      </c>
      <c r="D146" s="325">
        <v>44448.417361111111</v>
      </c>
      <c r="E146" s="326" t="s">
        <v>283</v>
      </c>
      <c r="F146" s="327">
        <v>78</v>
      </c>
      <c r="G146" s="327">
        <v>103</v>
      </c>
      <c r="H146" s="327">
        <v>95</v>
      </c>
      <c r="I146" s="327">
        <v>84</v>
      </c>
      <c r="J146" s="327">
        <v>59</v>
      </c>
      <c r="K146" s="327">
        <v>62</v>
      </c>
      <c r="L146" s="327">
        <v>76</v>
      </c>
      <c r="M146" s="327">
        <v>84</v>
      </c>
      <c r="N146" s="327">
        <v>51</v>
      </c>
      <c r="O146" s="327" t="s">
        <v>259</v>
      </c>
      <c r="P146" s="62" t="s">
        <v>259</v>
      </c>
      <c r="Q146" s="62" t="s">
        <v>259</v>
      </c>
      <c r="R146" s="62" t="s">
        <v>259</v>
      </c>
      <c r="S146" s="327" t="s">
        <v>259</v>
      </c>
      <c r="T146" s="327" t="s">
        <v>259</v>
      </c>
      <c r="U146" s="327" t="s">
        <v>256</v>
      </c>
      <c r="V146" s="327" t="s">
        <v>256</v>
      </c>
      <c r="W146" s="327" t="s">
        <v>256</v>
      </c>
      <c r="X146" s="327" t="s">
        <v>256</v>
      </c>
      <c r="Y146" s="327" t="s">
        <v>284</v>
      </c>
      <c r="Z146" s="327" t="s">
        <v>256</v>
      </c>
      <c r="AA146" s="327" t="s">
        <v>256</v>
      </c>
      <c r="AB146" s="327" t="s">
        <v>256</v>
      </c>
      <c r="AC146" s="327" t="s">
        <v>256</v>
      </c>
      <c r="AD146" s="327" t="s">
        <v>256</v>
      </c>
      <c r="AE146" s="327" t="s">
        <v>256</v>
      </c>
      <c r="AF146" s="62" t="s">
        <v>256</v>
      </c>
      <c r="AG146" s="62" t="s">
        <v>256</v>
      </c>
      <c r="AH146" s="62" t="s">
        <v>256</v>
      </c>
      <c r="AI146" s="327" t="s">
        <v>256</v>
      </c>
      <c r="AJ146" s="327" t="s">
        <v>248</v>
      </c>
      <c r="AK146" s="327" t="s">
        <v>259</v>
      </c>
      <c r="AL146" s="327" t="s">
        <v>259</v>
      </c>
      <c r="AM146" s="327" t="s">
        <v>251</v>
      </c>
      <c r="AN146" s="327" t="s">
        <v>256</v>
      </c>
      <c r="AO146" s="327" t="s">
        <v>259</v>
      </c>
      <c r="AP146" s="62" t="s">
        <v>251</v>
      </c>
      <c r="AQ146" s="62" t="s">
        <v>256</v>
      </c>
      <c r="AR146" s="62" t="s">
        <v>256</v>
      </c>
      <c r="AS146" s="62" t="s">
        <v>285</v>
      </c>
      <c r="AT146" s="62" t="s">
        <v>259</v>
      </c>
      <c r="AU146" s="327" t="s">
        <v>284</v>
      </c>
      <c r="AV146" s="327" t="s">
        <v>259</v>
      </c>
      <c r="AW146" s="62" t="s">
        <v>256</v>
      </c>
      <c r="AX146" s="62" t="s">
        <v>256</v>
      </c>
      <c r="AY146" s="62" t="s">
        <v>256</v>
      </c>
      <c r="AZ146" s="62" t="s">
        <v>256</v>
      </c>
      <c r="BA146" s="62" t="s">
        <v>256</v>
      </c>
      <c r="BB146" s="62" t="s">
        <v>259</v>
      </c>
      <c r="BC146" s="62" t="s">
        <v>286</v>
      </c>
      <c r="BD146" s="62" t="s">
        <v>248</v>
      </c>
      <c r="BE146" s="62" t="s">
        <v>259</v>
      </c>
      <c r="BF146" s="62" t="s">
        <v>248</v>
      </c>
      <c r="BG146" s="327" t="s">
        <v>256</v>
      </c>
      <c r="BH146" s="327" t="s">
        <v>256</v>
      </c>
      <c r="BI146" s="327" t="s">
        <v>256</v>
      </c>
      <c r="BJ146" s="62" t="s">
        <v>256</v>
      </c>
      <c r="BK146" s="327" t="s">
        <v>256</v>
      </c>
      <c r="BL146" s="327" t="s">
        <v>256</v>
      </c>
      <c r="BM146" s="327" t="s">
        <v>259</v>
      </c>
      <c r="BN146" s="62" t="s">
        <v>256</v>
      </c>
      <c r="BO146" s="62" t="s">
        <v>259</v>
      </c>
      <c r="BP146" s="62" t="s">
        <v>284</v>
      </c>
      <c r="BQ146" s="62" t="s">
        <v>256</v>
      </c>
      <c r="BR146" s="327" t="s">
        <v>256</v>
      </c>
      <c r="BS146" s="327" t="s">
        <v>256</v>
      </c>
      <c r="BT146" s="327" t="s">
        <v>284</v>
      </c>
      <c r="BU146" s="327" t="s">
        <v>256</v>
      </c>
      <c r="BV146" s="327" t="s">
        <v>248</v>
      </c>
      <c r="BW146" s="62" t="s">
        <v>285</v>
      </c>
      <c r="BX146" s="62" t="s">
        <v>287</v>
      </c>
      <c r="BY146" s="62" t="s">
        <v>259</v>
      </c>
      <c r="BZ146" s="62" t="s">
        <v>259</v>
      </c>
      <c r="CA146" s="62">
        <v>2.2000000000000002</v>
      </c>
      <c r="CB146" s="62">
        <v>1.8</v>
      </c>
      <c r="CC146" s="62">
        <v>188</v>
      </c>
      <c r="CD146" s="62">
        <v>1.6</v>
      </c>
      <c r="CE146" s="62">
        <v>2</v>
      </c>
      <c r="CF146" s="62">
        <v>7.2</v>
      </c>
      <c r="CG146" s="62">
        <v>9.6999999999999993</v>
      </c>
      <c r="CH146" s="62">
        <v>832</v>
      </c>
      <c r="CI146" s="62">
        <v>64</v>
      </c>
      <c r="CJ146" s="62" t="s">
        <v>254</v>
      </c>
      <c r="CK146" s="62">
        <v>88.4</v>
      </c>
      <c r="CL146" s="62">
        <v>68</v>
      </c>
      <c r="CM146" s="62" t="s">
        <v>288</v>
      </c>
      <c r="CN146" s="62" t="s">
        <v>288</v>
      </c>
      <c r="CO146" s="62">
        <v>16</v>
      </c>
      <c r="CP146" s="62">
        <v>5.4</v>
      </c>
      <c r="CQ146" s="62" t="s">
        <v>254</v>
      </c>
      <c r="CR146" s="62" t="s">
        <v>254</v>
      </c>
      <c r="CS146" s="62">
        <v>8.1999999999999993</v>
      </c>
      <c r="CT146" s="62">
        <v>10</v>
      </c>
      <c r="CU146" s="62">
        <v>0.11</v>
      </c>
      <c r="CV146" s="62">
        <v>400</v>
      </c>
      <c r="CW146" s="62" t="s">
        <v>153</v>
      </c>
      <c r="CX146" s="62">
        <v>2.8</v>
      </c>
      <c r="CY146" s="62">
        <v>0.32</v>
      </c>
      <c r="CZ146" s="62">
        <v>7.67</v>
      </c>
      <c r="DA146" s="62">
        <v>1.5</v>
      </c>
      <c r="DB146" s="62">
        <v>3300</v>
      </c>
      <c r="DC146" s="62">
        <v>860</v>
      </c>
      <c r="DD146" s="62">
        <v>23.6</v>
      </c>
      <c r="DE146" s="62">
        <v>2000</v>
      </c>
      <c r="DF146" s="62" t="s">
        <v>289</v>
      </c>
      <c r="DG146" s="62">
        <v>1.2</v>
      </c>
      <c r="DH146" s="62">
        <v>0.96</v>
      </c>
      <c r="DI146" s="62">
        <v>7800</v>
      </c>
      <c r="DJ146" s="62">
        <v>6000</v>
      </c>
      <c r="DK146" s="62">
        <v>8900</v>
      </c>
      <c r="DL146" s="62" t="s">
        <v>323</v>
      </c>
      <c r="DM146" s="62">
        <v>7.41</v>
      </c>
      <c r="DN146" s="328">
        <v>8.44</v>
      </c>
      <c r="DO146" s="328">
        <v>2779.7</v>
      </c>
      <c r="DP146" s="328">
        <v>21.75</v>
      </c>
      <c r="DQ146" s="328">
        <v>1.57</v>
      </c>
    </row>
    <row r="147" spans="1:121" hidden="1" x14ac:dyDescent="0.25">
      <c r="A147" s="62" t="s">
        <v>113</v>
      </c>
      <c r="B147" s="56" t="str">
        <f>VLOOKUP(Table3[[#This Row],[Station]], StationName, 2, FALSE)</f>
        <v>L05-049-1</v>
      </c>
      <c r="C147" s="362">
        <v>1857005</v>
      </c>
      <c r="D147" s="325">
        <v>44448.417361111111</v>
      </c>
      <c r="E147" s="326" t="s">
        <v>293</v>
      </c>
      <c r="F147" s="327" t="s">
        <v>294</v>
      </c>
      <c r="G147" s="327" t="s">
        <v>294</v>
      </c>
      <c r="H147" s="327" t="s">
        <v>294</v>
      </c>
      <c r="I147" s="327" t="s">
        <v>294</v>
      </c>
      <c r="J147" s="327" t="s">
        <v>294</v>
      </c>
      <c r="K147" s="327" t="s">
        <v>294</v>
      </c>
      <c r="L147" s="327" t="s">
        <v>294</v>
      </c>
      <c r="M147" s="327" t="s">
        <v>294</v>
      </c>
      <c r="N147" s="327" t="s">
        <v>294</v>
      </c>
      <c r="O147" s="327" t="s">
        <v>294</v>
      </c>
      <c r="P147" s="62" t="s">
        <v>294</v>
      </c>
      <c r="Q147" s="62" t="s">
        <v>294</v>
      </c>
      <c r="R147" s="62" t="s">
        <v>294</v>
      </c>
      <c r="S147" s="327" t="s">
        <v>294</v>
      </c>
      <c r="T147" s="327" t="s">
        <v>294</v>
      </c>
      <c r="U147" s="327" t="s">
        <v>294</v>
      </c>
      <c r="V147" s="327" t="s">
        <v>294</v>
      </c>
      <c r="W147" s="327" t="s">
        <v>294</v>
      </c>
      <c r="X147" s="327" t="s">
        <v>294</v>
      </c>
      <c r="Y147" s="327" t="s">
        <v>294</v>
      </c>
      <c r="Z147" s="327" t="s">
        <v>294</v>
      </c>
      <c r="AA147" s="327" t="s">
        <v>294</v>
      </c>
      <c r="AB147" s="327" t="s">
        <v>294</v>
      </c>
      <c r="AC147" s="327" t="s">
        <v>294</v>
      </c>
      <c r="AD147" s="327" t="s">
        <v>294</v>
      </c>
      <c r="AE147" s="327" t="s">
        <v>294</v>
      </c>
      <c r="AF147" s="62" t="s">
        <v>294</v>
      </c>
      <c r="AG147" s="62" t="s">
        <v>294</v>
      </c>
      <c r="AH147" s="62" t="s">
        <v>294</v>
      </c>
      <c r="AI147" s="327" t="s">
        <v>294</v>
      </c>
      <c r="AJ147" s="327" t="s">
        <v>294</v>
      </c>
      <c r="AK147" s="327" t="s">
        <v>294</v>
      </c>
      <c r="AL147" s="327" t="s">
        <v>294</v>
      </c>
      <c r="AM147" s="327" t="s">
        <v>294</v>
      </c>
      <c r="AN147" s="327" t="s">
        <v>294</v>
      </c>
      <c r="AO147" s="327" t="s">
        <v>294</v>
      </c>
      <c r="AP147" s="62" t="s">
        <v>294</v>
      </c>
      <c r="AQ147" s="62" t="s">
        <v>294</v>
      </c>
      <c r="AR147" s="62" t="s">
        <v>294</v>
      </c>
      <c r="AS147" s="62" t="s">
        <v>294</v>
      </c>
      <c r="AT147" s="62" t="s">
        <v>294</v>
      </c>
      <c r="AU147" s="327" t="s">
        <v>294</v>
      </c>
      <c r="AV147" s="327" t="s">
        <v>294</v>
      </c>
      <c r="AW147" s="62" t="s">
        <v>294</v>
      </c>
      <c r="AX147" s="62" t="s">
        <v>294</v>
      </c>
      <c r="AY147" s="62" t="s">
        <v>294</v>
      </c>
      <c r="AZ147" s="62" t="s">
        <v>294</v>
      </c>
      <c r="BA147" s="62" t="s">
        <v>294</v>
      </c>
      <c r="BB147" s="62" t="s">
        <v>294</v>
      </c>
      <c r="BC147" s="62" t="s">
        <v>294</v>
      </c>
      <c r="BD147" s="62" t="s">
        <v>294</v>
      </c>
      <c r="BE147" s="62" t="s">
        <v>294</v>
      </c>
      <c r="BF147" s="62" t="s">
        <v>294</v>
      </c>
      <c r="BG147" s="327" t="s">
        <v>294</v>
      </c>
      <c r="BH147" s="327" t="s">
        <v>294</v>
      </c>
      <c r="BI147" s="327" t="s">
        <v>294</v>
      </c>
      <c r="BJ147" s="62" t="s">
        <v>294</v>
      </c>
      <c r="BK147" s="327" t="s">
        <v>294</v>
      </c>
      <c r="BL147" s="327" t="s">
        <v>294</v>
      </c>
      <c r="BM147" s="327" t="s">
        <v>294</v>
      </c>
      <c r="BN147" s="62" t="s">
        <v>294</v>
      </c>
      <c r="BO147" s="62" t="s">
        <v>294</v>
      </c>
      <c r="BP147" s="62" t="s">
        <v>294</v>
      </c>
      <c r="BQ147" s="62" t="s">
        <v>294</v>
      </c>
      <c r="BR147" s="327" t="s">
        <v>294</v>
      </c>
      <c r="BS147" s="327" t="s">
        <v>294</v>
      </c>
      <c r="BT147" s="327" t="s">
        <v>294</v>
      </c>
      <c r="BU147" s="327" t="s">
        <v>294</v>
      </c>
      <c r="BV147" s="327" t="s">
        <v>294</v>
      </c>
      <c r="BW147" s="62" t="s">
        <v>294</v>
      </c>
      <c r="BX147" s="62" t="s">
        <v>294</v>
      </c>
      <c r="BY147" s="62" t="s">
        <v>294</v>
      </c>
      <c r="BZ147" s="62" t="s">
        <v>294</v>
      </c>
      <c r="CA147" s="62">
        <v>2.2999999999999998</v>
      </c>
      <c r="CB147" s="62">
        <v>0.9</v>
      </c>
      <c r="CC147" s="62" t="s">
        <v>294</v>
      </c>
      <c r="CD147" s="62">
        <v>1.8</v>
      </c>
      <c r="CE147" s="62">
        <v>1.9</v>
      </c>
      <c r="CF147" s="62">
        <v>4.0999999999999996</v>
      </c>
      <c r="CG147" s="62" t="s">
        <v>294</v>
      </c>
      <c r="CH147" s="62" t="s">
        <v>294</v>
      </c>
      <c r="CI147" s="62" t="s">
        <v>286</v>
      </c>
      <c r="CJ147" s="62">
        <v>0.2</v>
      </c>
      <c r="CK147" s="62" t="s">
        <v>294</v>
      </c>
      <c r="CL147" s="62">
        <v>61</v>
      </c>
      <c r="CM147" s="62" t="s">
        <v>294</v>
      </c>
      <c r="CN147" s="62" t="s">
        <v>288</v>
      </c>
      <c r="CO147" s="62">
        <v>16</v>
      </c>
      <c r="CP147" s="62">
        <v>5.3</v>
      </c>
      <c r="CQ147" s="62" t="s">
        <v>254</v>
      </c>
      <c r="CR147" s="62" t="s">
        <v>254</v>
      </c>
      <c r="CS147" s="62" t="s">
        <v>294</v>
      </c>
      <c r="CT147" s="62" t="s">
        <v>284</v>
      </c>
      <c r="CU147" s="62" t="s">
        <v>294</v>
      </c>
      <c r="CV147" s="62" t="s">
        <v>294</v>
      </c>
      <c r="CW147" s="62" t="s">
        <v>294</v>
      </c>
      <c r="CX147" s="62" t="s">
        <v>294</v>
      </c>
      <c r="CY147" s="62" t="s">
        <v>294</v>
      </c>
      <c r="CZ147" s="62" t="s">
        <v>294</v>
      </c>
      <c r="DA147" s="62" t="s">
        <v>294</v>
      </c>
      <c r="DB147" s="62" t="s">
        <v>294</v>
      </c>
      <c r="DC147" s="62" t="s">
        <v>294</v>
      </c>
      <c r="DD147" s="62" t="s">
        <v>294</v>
      </c>
      <c r="DE147" s="62" t="s">
        <v>294</v>
      </c>
      <c r="DF147" s="62" t="s">
        <v>294</v>
      </c>
      <c r="DG147" s="62" t="s">
        <v>294</v>
      </c>
      <c r="DH147" s="62" t="s">
        <v>294</v>
      </c>
      <c r="DI147" s="62" t="s">
        <v>294</v>
      </c>
      <c r="DJ147" s="62" t="s">
        <v>294</v>
      </c>
      <c r="DK147" s="62" t="s">
        <v>294</v>
      </c>
      <c r="DL147" s="62" t="s">
        <v>294</v>
      </c>
      <c r="DM147" s="62" t="s">
        <v>294</v>
      </c>
      <c r="DN147" s="328" t="s">
        <v>294</v>
      </c>
      <c r="DO147" s="328" t="s">
        <v>294</v>
      </c>
      <c r="DP147" s="328" t="s">
        <v>294</v>
      </c>
      <c r="DQ147" s="328" t="s">
        <v>294</v>
      </c>
    </row>
    <row r="148" spans="1:121" x14ac:dyDescent="0.25">
      <c r="A148" s="62" t="s">
        <v>295</v>
      </c>
      <c r="B148" s="56" t="str">
        <f>VLOOKUP(Table3[[#This Row],[Station]], StationName, 2, FALSE)</f>
        <v>L03-662-3 (L03P16)</v>
      </c>
      <c r="C148" s="362">
        <v>1853002</v>
      </c>
      <c r="D148" s="325">
        <v>44448.42083333333</v>
      </c>
      <c r="E148" s="326" t="s">
        <v>283</v>
      </c>
      <c r="F148" s="327">
        <v>78</v>
      </c>
      <c r="G148" s="327">
        <v>102</v>
      </c>
      <c r="H148" s="327">
        <v>88</v>
      </c>
      <c r="I148" s="327">
        <v>82</v>
      </c>
      <c r="J148" s="327">
        <v>63</v>
      </c>
      <c r="K148" s="327">
        <v>65</v>
      </c>
      <c r="L148" s="327">
        <v>77</v>
      </c>
      <c r="M148" s="327">
        <v>83</v>
      </c>
      <c r="N148" s="327">
        <v>56</v>
      </c>
      <c r="O148" s="327" t="s">
        <v>259</v>
      </c>
      <c r="P148" s="62" t="s">
        <v>259</v>
      </c>
      <c r="Q148" s="62" t="s">
        <v>259</v>
      </c>
      <c r="R148" s="62" t="s">
        <v>259</v>
      </c>
      <c r="S148" s="327" t="s">
        <v>259</v>
      </c>
      <c r="T148" s="327" t="s">
        <v>259</v>
      </c>
      <c r="U148" s="327" t="s">
        <v>256</v>
      </c>
      <c r="V148" s="327" t="s">
        <v>256</v>
      </c>
      <c r="W148" s="327" t="s">
        <v>256</v>
      </c>
      <c r="X148" s="327" t="s">
        <v>256</v>
      </c>
      <c r="Y148" s="327" t="s">
        <v>284</v>
      </c>
      <c r="Z148" s="327" t="s">
        <v>256</v>
      </c>
      <c r="AA148" s="327" t="s">
        <v>256</v>
      </c>
      <c r="AB148" s="327" t="s">
        <v>256</v>
      </c>
      <c r="AC148" s="327" t="s">
        <v>256</v>
      </c>
      <c r="AD148" s="327" t="s">
        <v>256</v>
      </c>
      <c r="AE148" s="327" t="s">
        <v>256</v>
      </c>
      <c r="AF148" s="62" t="s">
        <v>256</v>
      </c>
      <c r="AG148" s="62" t="s">
        <v>256</v>
      </c>
      <c r="AH148" s="62" t="s">
        <v>256</v>
      </c>
      <c r="AI148" s="327" t="s">
        <v>256</v>
      </c>
      <c r="AJ148" s="327" t="s">
        <v>248</v>
      </c>
      <c r="AK148" s="327" t="s">
        <v>259</v>
      </c>
      <c r="AL148" s="327" t="s">
        <v>259</v>
      </c>
      <c r="AM148" s="327" t="s">
        <v>251</v>
      </c>
      <c r="AN148" s="327" t="s">
        <v>256</v>
      </c>
      <c r="AO148" s="327" t="s">
        <v>259</v>
      </c>
      <c r="AP148" s="62" t="s">
        <v>251</v>
      </c>
      <c r="AQ148" s="62" t="s">
        <v>256</v>
      </c>
      <c r="AR148" s="62" t="s">
        <v>256</v>
      </c>
      <c r="AS148" s="62" t="s">
        <v>285</v>
      </c>
      <c r="AT148" s="62" t="s">
        <v>259</v>
      </c>
      <c r="AU148" s="327" t="s">
        <v>284</v>
      </c>
      <c r="AV148" s="327" t="s">
        <v>259</v>
      </c>
      <c r="AW148" s="62" t="s">
        <v>256</v>
      </c>
      <c r="AX148" s="62" t="s">
        <v>256</v>
      </c>
      <c r="AY148" s="62" t="s">
        <v>256</v>
      </c>
      <c r="AZ148" s="62" t="s">
        <v>256</v>
      </c>
      <c r="BA148" s="62" t="s">
        <v>256</v>
      </c>
      <c r="BB148" s="62" t="s">
        <v>259</v>
      </c>
      <c r="BC148" s="62" t="s">
        <v>286</v>
      </c>
      <c r="BD148" s="62" t="s">
        <v>248</v>
      </c>
      <c r="BE148" s="62" t="s">
        <v>259</v>
      </c>
      <c r="BF148" s="62" t="s">
        <v>248</v>
      </c>
      <c r="BG148" s="327" t="s">
        <v>256</v>
      </c>
      <c r="BH148" s="327" t="s">
        <v>256</v>
      </c>
      <c r="BI148" s="327" t="s">
        <v>256</v>
      </c>
      <c r="BJ148" s="62" t="s">
        <v>256</v>
      </c>
      <c r="BK148" s="327" t="s">
        <v>256</v>
      </c>
      <c r="BL148" s="327" t="s">
        <v>256</v>
      </c>
      <c r="BM148" s="327" t="s">
        <v>259</v>
      </c>
      <c r="BN148" s="62" t="s">
        <v>256</v>
      </c>
      <c r="BO148" s="62" t="s">
        <v>259</v>
      </c>
      <c r="BP148" s="62" t="s">
        <v>284</v>
      </c>
      <c r="BQ148" s="62" t="s">
        <v>256</v>
      </c>
      <c r="BR148" s="327" t="s">
        <v>256</v>
      </c>
      <c r="BS148" s="327" t="s">
        <v>256</v>
      </c>
      <c r="BT148" s="327" t="s">
        <v>284</v>
      </c>
      <c r="BU148" s="327" t="s">
        <v>256</v>
      </c>
      <c r="BV148" s="327" t="s">
        <v>248</v>
      </c>
      <c r="BW148" s="62" t="s">
        <v>285</v>
      </c>
      <c r="BX148" s="62" t="s">
        <v>287</v>
      </c>
      <c r="BY148" s="62" t="s">
        <v>259</v>
      </c>
      <c r="BZ148" s="62" t="s">
        <v>259</v>
      </c>
      <c r="CA148" s="62">
        <v>5</v>
      </c>
      <c r="CB148" s="62" t="s">
        <v>254</v>
      </c>
      <c r="CC148" s="62">
        <v>192</v>
      </c>
      <c r="CD148" s="62" t="s">
        <v>230</v>
      </c>
      <c r="CE148" s="62">
        <v>0.24</v>
      </c>
      <c r="CF148" s="62">
        <v>7.5</v>
      </c>
      <c r="CG148" s="62">
        <v>9.1</v>
      </c>
      <c r="CH148" s="62">
        <v>748</v>
      </c>
      <c r="CI148" s="62">
        <v>170</v>
      </c>
      <c r="CJ148" s="62">
        <v>0.23</v>
      </c>
      <c r="CK148" s="62">
        <v>65.5</v>
      </c>
      <c r="CL148" s="62">
        <v>43</v>
      </c>
      <c r="CM148" s="62">
        <v>5.7000000000000002E-2</v>
      </c>
      <c r="CN148" s="62" t="s">
        <v>288</v>
      </c>
      <c r="CO148" s="62">
        <v>3.5</v>
      </c>
      <c r="CP148" s="62">
        <v>1</v>
      </c>
      <c r="CQ148" s="62" t="s">
        <v>254</v>
      </c>
      <c r="CR148" s="62" t="s">
        <v>254</v>
      </c>
      <c r="CS148" s="62">
        <v>8.4</v>
      </c>
      <c r="CT148" s="62" t="s">
        <v>284</v>
      </c>
      <c r="CU148" s="62" t="s">
        <v>153</v>
      </c>
      <c r="CV148" s="62">
        <v>290</v>
      </c>
      <c r="CW148" s="62">
        <v>0.9</v>
      </c>
      <c r="CX148" s="62">
        <v>0.83</v>
      </c>
      <c r="CY148" s="62">
        <v>0.18</v>
      </c>
      <c r="CZ148" s="62">
        <v>8.01</v>
      </c>
      <c r="DA148" s="62">
        <v>0.69</v>
      </c>
      <c r="DB148" s="62">
        <v>2900</v>
      </c>
      <c r="DC148" s="62">
        <v>730</v>
      </c>
      <c r="DD148" s="62">
        <v>23.6</v>
      </c>
      <c r="DE148" s="62">
        <v>1800</v>
      </c>
      <c r="DF148" s="62" t="s">
        <v>289</v>
      </c>
      <c r="DG148" s="62">
        <v>3.4</v>
      </c>
      <c r="DH148" s="62">
        <v>2.2000000000000002</v>
      </c>
      <c r="DI148" s="62">
        <v>4800</v>
      </c>
      <c r="DJ148" s="62">
        <v>31000</v>
      </c>
      <c r="DK148" s="62">
        <v>36000</v>
      </c>
      <c r="DL148" s="62" t="s">
        <v>419</v>
      </c>
      <c r="DM148" s="62">
        <v>8.0500000000000007</v>
      </c>
      <c r="DN148" s="328">
        <v>8.67</v>
      </c>
      <c r="DO148" s="328">
        <v>2424</v>
      </c>
      <c r="DP148" s="328">
        <v>22.54</v>
      </c>
      <c r="DQ148" s="328">
        <v>2.48</v>
      </c>
    </row>
    <row r="149" spans="1:121" hidden="1" x14ac:dyDescent="0.25">
      <c r="A149" s="62" t="s">
        <v>295</v>
      </c>
      <c r="B149" s="56" t="str">
        <f>VLOOKUP(Table3[[#This Row],[Station]], StationName, 2, FALSE)</f>
        <v>L03-662-3 (L03P16)</v>
      </c>
      <c r="C149" s="362">
        <v>1853005</v>
      </c>
      <c r="D149" s="325">
        <v>44448.42083333333</v>
      </c>
      <c r="E149" s="326" t="s">
        <v>293</v>
      </c>
      <c r="F149" s="327" t="s">
        <v>294</v>
      </c>
      <c r="G149" s="327" t="s">
        <v>294</v>
      </c>
      <c r="H149" s="327" t="s">
        <v>294</v>
      </c>
      <c r="I149" s="327" t="s">
        <v>294</v>
      </c>
      <c r="J149" s="327" t="s">
        <v>294</v>
      </c>
      <c r="K149" s="327" t="s">
        <v>294</v>
      </c>
      <c r="L149" s="327" t="s">
        <v>294</v>
      </c>
      <c r="M149" s="327" t="s">
        <v>294</v>
      </c>
      <c r="N149" s="327" t="s">
        <v>294</v>
      </c>
      <c r="O149" s="327" t="s">
        <v>294</v>
      </c>
      <c r="P149" s="62" t="s">
        <v>294</v>
      </c>
      <c r="Q149" s="62" t="s">
        <v>294</v>
      </c>
      <c r="R149" s="62" t="s">
        <v>294</v>
      </c>
      <c r="S149" s="327" t="s">
        <v>294</v>
      </c>
      <c r="T149" s="327" t="s">
        <v>294</v>
      </c>
      <c r="U149" s="327" t="s">
        <v>294</v>
      </c>
      <c r="V149" s="327" t="s">
        <v>294</v>
      </c>
      <c r="W149" s="327" t="s">
        <v>294</v>
      </c>
      <c r="X149" s="327" t="s">
        <v>294</v>
      </c>
      <c r="Y149" s="327" t="s">
        <v>294</v>
      </c>
      <c r="Z149" s="327" t="s">
        <v>294</v>
      </c>
      <c r="AA149" s="327" t="s">
        <v>294</v>
      </c>
      <c r="AB149" s="327" t="s">
        <v>294</v>
      </c>
      <c r="AC149" s="327" t="s">
        <v>294</v>
      </c>
      <c r="AD149" s="327" t="s">
        <v>294</v>
      </c>
      <c r="AE149" s="327" t="s">
        <v>294</v>
      </c>
      <c r="AF149" s="62" t="s">
        <v>294</v>
      </c>
      <c r="AG149" s="62" t="s">
        <v>294</v>
      </c>
      <c r="AH149" s="62" t="s">
        <v>294</v>
      </c>
      <c r="AI149" s="327" t="s">
        <v>294</v>
      </c>
      <c r="AJ149" s="327" t="s">
        <v>294</v>
      </c>
      <c r="AK149" s="327" t="s">
        <v>294</v>
      </c>
      <c r="AL149" s="327" t="s">
        <v>294</v>
      </c>
      <c r="AM149" s="327" t="s">
        <v>294</v>
      </c>
      <c r="AN149" s="327" t="s">
        <v>294</v>
      </c>
      <c r="AO149" s="327" t="s">
        <v>294</v>
      </c>
      <c r="AP149" s="62" t="s">
        <v>294</v>
      </c>
      <c r="AQ149" s="62" t="s">
        <v>294</v>
      </c>
      <c r="AR149" s="62" t="s">
        <v>294</v>
      </c>
      <c r="AS149" s="62" t="s">
        <v>294</v>
      </c>
      <c r="AT149" s="62" t="s">
        <v>294</v>
      </c>
      <c r="AU149" s="327" t="s">
        <v>294</v>
      </c>
      <c r="AV149" s="327" t="s">
        <v>294</v>
      </c>
      <c r="AW149" s="62" t="s">
        <v>294</v>
      </c>
      <c r="AX149" s="62" t="s">
        <v>294</v>
      </c>
      <c r="AY149" s="62" t="s">
        <v>294</v>
      </c>
      <c r="AZ149" s="62" t="s">
        <v>294</v>
      </c>
      <c r="BA149" s="62" t="s">
        <v>294</v>
      </c>
      <c r="BB149" s="62" t="s">
        <v>294</v>
      </c>
      <c r="BC149" s="62" t="s">
        <v>294</v>
      </c>
      <c r="BD149" s="62" t="s">
        <v>294</v>
      </c>
      <c r="BE149" s="62" t="s">
        <v>294</v>
      </c>
      <c r="BF149" s="62" t="s">
        <v>294</v>
      </c>
      <c r="BG149" s="327" t="s">
        <v>294</v>
      </c>
      <c r="BH149" s="327" t="s">
        <v>294</v>
      </c>
      <c r="BI149" s="327" t="s">
        <v>294</v>
      </c>
      <c r="BJ149" s="62" t="s">
        <v>294</v>
      </c>
      <c r="BK149" s="327" t="s">
        <v>294</v>
      </c>
      <c r="BL149" s="327" t="s">
        <v>294</v>
      </c>
      <c r="BM149" s="327" t="s">
        <v>294</v>
      </c>
      <c r="BN149" s="62" t="s">
        <v>294</v>
      </c>
      <c r="BO149" s="62" t="s">
        <v>294</v>
      </c>
      <c r="BP149" s="62" t="s">
        <v>294</v>
      </c>
      <c r="BQ149" s="62" t="s">
        <v>294</v>
      </c>
      <c r="BR149" s="327" t="s">
        <v>294</v>
      </c>
      <c r="BS149" s="327" t="s">
        <v>294</v>
      </c>
      <c r="BT149" s="327" t="s">
        <v>294</v>
      </c>
      <c r="BU149" s="327" t="s">
        <v>294</v>
      </c>
      <c r="BV149" s="327" t="s">
        <v>294</v>
      </c>
      <c r="BW149" s="62" t="s">
        <v>294</v>
      </c>
      <c r="BX149" s="62" t="s">
        <v>294</v>
      </c>
      <c r="BY149" s="62" t="s">
        <v>294</v>
      </c>
      <c r="BZ149" s="62" t="s">
        <v>294</v>
      </c>
      <c r="CA149" s="62">
        <v>4.8</v>
      </c>
      <c r="CB149" s="62" t="s">
        <v>254</v>
      </c>
      <c r="CC149" s="62" t="s">
        <v>294</v>
      </c>
      <c r="CD149" s="62" t="s">
        <v>230</v>
      </c>
      <c r="CE149" s="62" t="s">
        <v>254</v>
      </c>
      <c r="CF149" s="62">
        <v>5.7</v>
      </c>
      <c r="CG149" s="62" t="s">
        <v>294</v>
      </c>
      <c r="CH149" s="62" t="s">
        <v>294</v>
      </c>
      <c r="CI149" s="62">
        <v>66</v>
      </c>
      <c r="CJ149" s="62" t="s">
        <v>254</v>
      </c>
      <c r="CK149" s="62" t="s">
        <v>294</v>
      </c>
      <c r="CL149" s="62">
        <v>31</v>
      </c>
      <c r="CM149" s="62" t="s">
        <v>294</v>
      </c>
      <c r="CN149" s="62" t="s">
        <v>288</v>
      </c>
      <c r="CO149" s="62">
        <v>3.4</v>
      </c>
      <c r="CP149" s="62">
        <v>1</v>
      </c>
      <c r="CQ149" s="62" t="s">
        <v>254</v>
      </c>
      <c r="CR149" s="62" t="s">
        <v>254</v>
      </c>
      <c r="CS149" s="62" t="s">
        <v>294</v>
      </c>
      <c r="CT149" s="62" t="s">
        <v>284</v>
      </c>
      <c r="CU149" s="62" t="s">
        <v>294</v>
      </c>
      <c r="CV149" s="62" t="s">
        <v>294</v>
      </c>
      <c r="CW149" s="62" t="s">
        <v>294</v>
      </c>
      <c r="CX149" s="62" t="s">
        <v>294</v>
      </c>
      <c r="CY149" s="62" t="s">
        <v>294</v>
      </c>
      <c r="CZ149" s="62" t="s">
        <v>294</v>
      </c>
      <c r="DA149" s="62" t="s">
        <v>294</v>
      </c>
      <c r="DB149" s="62" t="s">
        <v>294</v>
      </c>
      <c r="DC149" s="62" t="s">
        <v>294</v>
      </c>
      <c r="DD149" s="62" t="s">
        <v>294</v>
      </c>
      <c r="DE149" s="62" t="s">
        <v>294</v>
      </c>
      <c r="DF149" s="62" t="s">
        <v>294</v>
      </c>
      <c r="DG149" s="62" t="s">
        <v>294</v>
      </c>
      <c r="DH149" s="62" t="s">
        <v>294</v>
      </c>
      <c r="DI149" s="62" t="s">
        <v>294</v>
      </c>
      <c r="DJ149" s="62" t="s">
        <v>294</v>
      </c>
      <c r="DK149" s="62" t="s">
        <v>294</v>
      </c>
      <c r="DL149" s="62" t="s">
        <v>294</v>
      </c>
      <c r="DM149" s="62" t="s">
        <v>294</v>
      </c>
      <c r="DN149" s="328" t="s">
        <v>294</v>
      </c>
      <c r="DO149" s="328" t="s">
        <v>294</v>
      </c>
      <c r="DP149" s="328" t="s">
        <v>294</v>
      </c>
      <c r="DQ149" s="328" t="s">
        <v>294</v>
      </c>
    </row>
    <row r="150" spans="1:121" x14ac:dyDescent="0.25">
      <c r="A150" s="62" t="s">
        <v>317</v>
      </c>
      <c r="B150" s="56" t="str">
        <f>VLOOKUP(Table3[[#This Row],[Station]], StationName, 2, FALSE)</f>
        <v>J06-10011-1 (J06P01)</v>
      </c>
      <c r="C150" s="362">
        <v>1921003</v>
      </c>
      <c r="D150" s="325">
        <v>44448.42291666667</v>
      </c>
      <c r="E150" s="326" t="s">
        <v>283</v>
      </c>
      <c r="F150" s="327">
        <v>86</v>
      </c>
      <c r="G150" s="327">
        <v>102</v>
      </c>
      <c r="H150" s="327">
        <v>92</v>
      </c>
      <c r="I150" s="327">
        <v>83</v>
      </c>
      <c r="J150" s="327">
        <v>73</v>
      </c>
      <c r="K150" s="327">
        <v>67</v>
      </c>
      <c r="L150" s="327">
        <v>77</v>
      </c>
      <c r="M150" s="327">
        <v>83</v>
      </c>
      <c r="N150" s="327">
        <v>53</v>
      </c>
      <c r="O150" s="327" t="s">
        <v>259</v>
      </c>
      <c r="P150" s="62" t="s">
        <v>259</v>
      </c>
      <c r="Q150" s="62" t="s">
        <v>259</v>
      </c>
      <c r="R150" s="62" t="s">
        <v>259</v>
      </c>
      <c r="S150" s="327" t="s">
        <v>259</v>
      </c>
      <c r="T150" s="327" t="s">
        <v>259</v>
      </c>
      <c r="U150" s="327" t="s">
        <v>256</v>
      </c>
      <c r="V150" s="327" t="s">
        <v>256</v>
      </c>
      <c r="W150" s="327" t="s">
        <v>256</v>
      </c>
      <c r="X150" s="327" t="s">
        <v>256</v>
      </c>
      <c r="Y150" s="327" t="s">
        <v>284</v>
      </c>
      <c r="Z150" s="327" t="s">
        <v>256</v>
      </c>
      <c r="AA150" s="327" t="s">
        <v>256</v>
      </c>
      <c r="AB150" s="327" t="s">
        <v>256</v>
      </c>
      <c r="AC150" s="327" t="s">
        <v>256</v>
      </c>
      <c r="AD150" s="327" t="s">
        <v>256</v>
      </c>
      <c r="AE150" s="327" t="s">
        <v>256</v>
      </c>
      <c r="AF150" s="62" t="s">
        <v>256</v>
      </c>
      <c r="AG150" s="62" t="s">
        <v>256</v>
      </c>
      <c r="AH150" s="62" t="s">
        <v>256</v>
      </c>
      <c r="AI150" s="327" t="s">
        <v>256</v>
      </c>
      <c r="AJ150" s="327" t="s">
        <v>248</v>
      </c>
      <c r="AK150" s="327" t="s">
        <v>259</v>
      </c>
      <c r="AL150" s="327" t="s">
        <v>259</v>
      </c>
      <c r="AM150" s="327" t="s">
        <v>251</v>
      </c>
      <c r="AN150" s="327" t="s">
        <v>256</v>
      </c>
      <c r="AO150" s="327" t="s">
        <v>259</v>
      </c>
      <c r="AP150" s="62" t="s">
        <v>251</v>
      </c>
      <c r="AQ150" s="62" t="s">
        <v>256</v>
      </c>
      <c r="AR150" s="62" t="s">
        <v>256</v>
      </c>
      <c r="AS150" s="62" t="s">
        <v>285</v>
      </c>
      <c r="AT150" s="62" t="s">
        <v>259</v>
      </c>
      <c r="AU150" s="327" t="s">
        <v>284</v>
      </c>
      <c r="AV150" s="327" t="s">
        <v>259</v>
      </c>
      <c r="AW150" s="62" t="s">
        <v>256</v>
      </c>
      <c r="AX150" s="62" t="s">
        <v>256</v>
      </c>
      <c r="AY150" s="62" t="s">
        <v>256</v>
      </c>
      <c r="AZ150" s="62" t="s">
        <v>256</v>
      </c>
      <c r="BA150" s="62" t="s">
        <v>256</v>
      </c>
      <c r="BB150" s="62" t="s">
        <v>259</v>
      </c>
      <c r="BC150" s="62" t="s">
        <v>286</v>
      </c>
      <c r="BD150" s="62" t="s">
        <v>248</v>
      </c>
      <c r="BE150" s="62" t="s">
        <v>259</v>
      </c>
      <c r="BF150" s="62" t="s">
        <v>248</v>
      </c>
      <c r="BG150" s="327" t="s">
        <v>256</v>
      </c>
      <c r="BH150" s="327" t="s">
        <v>256</v>
      </c>
      <c r="BI150" s="327" t="s">
        <v>256</v>
      </c>
      <c r="BJ150" s="62" t="s">
        <v>256</v>
      </c>
      <c r="BK150" s="327" t="s">
        <v>256</v>
      </c>
      <c r="BL150" s="327" t="s">
        <v>256</v>
      </c>
      <c r="BM150" s="327" t="s">
        <v>259</v>
      </c>
      <c r="BN150" s="62" t="s">
        <v>256</v>
      </c>
      <c r="BO150" s="62" t="s">
        <v>259</v>
      </c>
      <c r="BP150" s="62" t="s">
        <v>284</v>
      </c>
      <c r="BQ150" s="62" t="s">
        <v>256</v>
      </c>
      <c r="BR150" s="327" t="s">
        <v>256</v>
      </c>
      <c r="BS150" s="327" t="s">
        <v>256</v>
      </c>
      <c r="BT150" s="327" t="s">
        <v>284</v>
      </c>
      <c r="BU150" s="327" t="s">
        <v>256</v>
      </c>
      <c r="BV150" s="327" t="s">
        <v>248</v>
      </c>
      <c r="BW150" s="62" t="s">
        <v>285</v>
      </c>
      <c r="BX150" s="62" t="s">
        <v>287</v>
      </c>
      <c r="BY150" s="62" t="s">
        <v>259</v>
      </c>
      <c r="BZ150" s="62" t="s">
        <v>259</v>
      </c>
      <c r="CA150" s="62">
        <v>7</v>
      </c>
      <c r="CB150" s="62">
        <v>0.27</v>
      </c>
      <c r="CC150" s="62">
        <v>225</v>
      </c>
      <c r="CD150" s="62">
        <v>0.37</v>
      </c>
      <c r="CE150" s="62">
        <v>0.38</v>
      </c>
      <c r="CF150" s="62">
        <v>5.6</v>
      </c>
      <c r="CG150" s="62">
        <v>3.2</v>
      </c>
      <c r="CH150" s="62">
        <v>867</v>
      </c>
      <c r="CI150" s="62" t="s">
        <v>286</v>
      </c>
      <c r="CJ150" s="62" t="s">
        <v>254</v>
      </c>
      <c r="CK150" s="62">
        <v>74.099999999999994</v>
      </c>
      <c r="CL150" s="62">
        <v>230</v>
      </c>
      <c r="CM150" s="62" t="s">
        <v>288</v>
      </c>
      <c r="CN150" s="62" t="s">
        <v>288</v>
      </c>
      <c r="CO150" s="62">
        <v>3.1</v>
      </c>
      <c r="CP150" s="62">
        <v>6.4</v>
      </c>
      <c r="CQ150" s="62" t="s">
        <v>254</v>
      </c>
      <c r="CR150" s="62" t="s">
        <v>254</v>
      </c>
      <c r="CS150" s="62">
        <v>2.6</v>
      </c>
      <c r="CT150" s="62" t="s">
        <v>284</v>
      </c>
      <c r="CU150" s="62" t="s">
        <v>153</v>
      </c>
      <c r="CV150" s="62">
        <v>330</v>
      </c>
      <c r="CW150" s="62">
        <v>1.4</v>
      </c>
      <c r="CX150" s="62">
        <v>0.25</v>
      </c>
      <c r="CY150" s="62">
        <v>2.8000000000000001E-2</v>
      </c>
      <c r="CZ150" s="62">
        <v>7.81</v>
      </c>
      <c r="DA150" s="62">
        <v>0.68</v>
      </c>
      <c r="DB150" s="62">
        <v>3300</v>
      </c>
      <c r="DC150" s="62">
        <v>760</v>
      </c>
      <c r="DD150" s="62">
        <v>23.4</v>
      </c>
      <c r="DE150" s="62">
        <v>1900</v>
      </c>
      <c r="DF150" s="62" t="s">
        <v>289</v>
      </c>
      <c r="DG150" s="62">
        <v>0.6</v>
      </c>
      <c r="DH150" s="62">
        <v>0.17</v>
      </c>
      <c r="DI150" s="62">
        <v>150</v>
      </c>
      <c r="DJ150" s="62">
        <v>360</v>
      </c>
      <c r="DK150" s="62">
        <v>330</v>
      </c>
      <c r="DL150" s="62" t="s">
        <v>420</v>
      </c>
      <c r="DM150" s="62">
        <v>7.87</v>
      </c>
      <c r="DN150" s="328">
        <v>8.24</v>
      </c>
      <c r="DO150" s="328">
        <v>2717</v>
      </c>
      <c r="DP150" s="328">
        <v>23.57</v>
      </c>
      <c r="DQ150" s="328">
        <v>0.97</v>
      </c>
    </row>
    <row r="151" spans="1:121" hidden="1" x14ac:dyDescent="0.25">
      <c r="A151" s="62" t="s">
        <v>317</v>
      </c>
      <c r="B151" s="56" t="str">
        <f>VLOOKUP(Table3[[#This Row],[Station]], StationName, 2, FALSE)</f>
        <v>J06-10011-1 (J06P01)</v>
      </c>
      <c r="C151" s="362">
        <v>1921006</v>
      </c>
      <c r="D151" s="325">
        <v>44448.42291666667</v>
      </c>
      <c r="E151" s="326" t="s">
        <v>293</v>
      </c>
      <c r="F151" s="327" t="s">
        <v>294</v>
      </c>
      <c r="G151" s="327" t="s">
        <v>294</v>
      </c>
      <c r="H151" s="327" t="s">
        <v>294</v>
      </c>
      <c r="I151" s="327" t="s">
        <v>294</v>
      </c>
      <c r="J151" s="327" t="s">
        <v>294</v>
      </c>
      <c r="K151" s="327" t="s">
        <v>294</v>
      </c>
      <c r="L151" s="327" t="s">
        <v>294</v>
      </c>
      <c r="M151" s="327" t="s">
        <v>294</v>
      </c>
      <c r="N151" s="327" t="s">
        <v>294</v>
      </c>
      <c r="O151" s="327" t="s">
        <v>294</v>
      </c>
      <c r="P151" s="62" t="s">
        <v>294</v>
      </c>
      <c r="Q151" s="62" t="s">
        <v>294</v>
      </c>
      <c r="R151" s="62" t="s">
        <v>294</v>
      </c>
      <c r="S151" s="327" t="s">
        <v>294</v>
      </c>
      <c r="T151" s="327" t="s">
        <v>294</v>
      </c>
      <c r="U151" s="327" t="s">
        <v>294</v>
      </c>
      <c r="V151" s="327" t="s">
        <v>294</v>
      </c>
      <c r="W151" s="327" t="s">
        <v>294</v>
      </c>
      <c r="X151" s="327" t="s">
        <v>294</v>
      </c>
      <c r="Y151" s="327" t="s">
        <v>294</v>
      </c>
      <c r="Z151" s="327" t="s">
        <v>294</v>
      </c>
      <c r="AA151" s="327" t="s">
        <v>294</v>
      </c>
      <c r="AB151" s="327" t="s">
        <v>294</v>
      </c>
      <c r="AC151" s="327" t="s">
        <v>294</v>
      </c>
      <c r="AD151" s="327" t="s">
        <v>294</v>
      </c>
      <c r="AE151" s="327" t="s">
        <v>294</v>
      </c>
      <c r="AF151" s="62" t="s">
        <v>294</v>
      </c>
      <c r="AG151" s="62" t="s">
        <v>294</v>
      </c>
      <c r="AH151" s="62" t="s">
        <v>294</v>
      </c>
      <c r="AI151" s="327" t="s">
        <v>294</v>
      </c>
      <c r="AJ151" s="327" t="s">
        <v>294</v>
      </c>
      <c r="AK151" s="327" t="s">
        <v>294</v>
      </c>
      <c r="AL151" s="327" t="s">
        <v>294</v>
      </c>
      <c r="AM151" s="327" t="s">
        <v>294</v>
      </c>
      <c r="AN151" s="327" t="s">
        <v>294</v>
      </c>
      <c r="AO151" s="327" t="s">
        <v>294</v>
      </c>
      <c r="AP151" s="62" t="s">
        <v>294</v>
      </c>
      <c r="AQ151" s="62" t="s">
        <v>294</v>
      </c>
      <c r="AR151" s="62" t="s">
        <v>294</v>
      </c>
      <c r="AS151" s="62" t="s">
        <v>294</v>
      </c>
      <c r="AT151" s="62" t="s">
        <v>294</v>
      </c>
      <c r="AU151" s="327" t="s">
        <v>294</v>
      </c>
      <c r="AV151" s="327" t="s">
        <v>294</v>
      </c>
      <c r="AW151" s="62" t="s">
        <v>294</v>
      </c>
      <c r="AX151" s="62" t="s">
        <v>294</v>
      </c>
      <c r="AY151" s="62" t="s">
        <v>294</v>
      </c>
      <c r="AZ151" s="62" t="s">
        <v>294</v>
      </c>
      <c r="BA151" s="62" t="s">
        <v>294</v>
      </c>
      <c r="BB151" s="62" t="s">
        <v>294</v>
      </c>
      <c r="BC151" s="62" t="s">
        <v>294</v>
      </c>
      <c r="BD151" s="62" t="s">
        <v>294</v>
      </c>
      <c r="BE151" s="62" t="s">
        <v>294</v>
      </c>
      <c r="BF151" s="62" t="s">
        <v>294</v>
      </c>
      <c r="BG151" s="327" t="s">
        <v>294</v>
      </c>
      <c r="BH151" s="327" t="s">
        <v>294</v>
      </c>
      <c r="BI151" s="327" t="s">
        <v>294</v>
      </c>
      <c r="BJ151" s="62" t="s">
        <v>294</v>
      </c>
      <c r="BK151" s="327" t="s">
        <v>294</v>
      </c>
      <c r="BL151" s="327" t="s">
        <v>294</v>
      </c>
      <c r="BM151" s="327" t="s">
        <v>294</v>
      </c>
      <c r="BN151" s="62" t="s">
        <v>294</v>
      </c>
      <c r="BO151" s="62" t="s">
        <v>294</v>
      </c>
      <c r="BP151" s="62" t="s">
        <v>294</v>
      </c>
      <c r="BQ151" s="62" t="s">
        <v>294</v>
      </c>
      <c r="BR151" s="327" t="s">
        <v>294</v>
      </c>
      <c r="BS151" s="327" t="s">
        <v>294</v>
      </c>
      <c r="BT151" s="327" t="s">
        <v>294</v>
      </c>
      <c r="BU151" s="327" t="s">
        <v>294</v>
      </c>
      <c r="BV151" s="327" t="s">
        <v>294</v>
      </c>
      <c r="BW151" s="62" t="s">
        <v>294</v>
      </c>
      <c r="BX151" s="62" t="s">
        <v>294</v>
      </c>
      <c r="BY151" s="62" t="s">
        <v>294</v>
      </c>
      <c r="BZ151" s="62" t="s">
        <v>294</v>
      </c>
      <c r="CA151" s="62">
        <v>7.1</v>
      </c>
      <c r="CB151" s="62">
        <v>0.27</v>
      </c>
      <c r="CC151" s="62" t="s">
        <v>294</v>
      </c>
      <c r="CD151" s="62">
        <v>0.28999999999999998</v>
      </c>
      <c r="CE151" s="62">
        <v>0.35</v>
      </c>
      <c r="CF151" s="62">
        <v>4.9000000000000004</v>
      </c>
      <c r="CG151" s="62" t="s">
        <v>294</v>
      </c>
      <c r="CH151" s="62" t="s">
        <v>294</v>
      </c>
      <c r="CI151" s="62" t="s">
        <v>286</v>
      </c>
      <c r="CJ151" s="62" t="s">
        <v>254</v>
      </c>
      <c r="CK151" s="62" t="s">
        <v>294</v>
      </c>
      <c r="CL151" s="62">
        <v>220</v>
      </c>
      <c r="CM151" s="62" t="s">
        <v>294</v>
      </c>
      <c r="CN151" s="62" t="s">
        <v>288</v>
      </c>
      <c r="CO151" s="62">
        <v>3</v>
      </c>
      <c r="CP151" s="62">
        <v>6.5</v>
      </c>
      <c r="CQ151" s="62" t="s">
        <v>254</v>
      </c>
      <c r="CR151" s="62" t="s">
        <v>254</v>
      </c>
      <c r="CS151" s="62" t="s">
        <v>294</v>
      </c>
      <c r="CT151" s="62" t="s">
        <v>284</v>
      </c>
      <c r="CU151" s="62" t="s">
        <v>294</v>
      </c>
      <c r="CV151" s="62" t="s">
        <v>294</v>
      </c>
      <c r="CW151" s="62" t="s">
        <v>294</v>
      </c>
      <c r="CX151" s="62" t="s">
        <v>294</v>
      </c>
      <c r="CY151" s="62" t="s">
        <v>294</v>
      </c>
      <c r="CZ151" s="62" t="s">
        <v>294</v>
      </c>
      <c r="DA151" s="62" t="s">
        <v>294</v>
      </c>
      <c r="DB151" s="62" t="s">
        <v>294</v>
      </c>
      <c r="DC151" s="62" t="s">
        <v>294</v>
      </c>
      <c r="DD151" s="62" t="s">
        <v>294</v>
      </c>
      <c r="DE151" s="62" t="s">
        <v>294</v>
      </c>
      <c r="DF151" s="62" t="s">
        <v>294</v>
      </c>
      <c r="DG151" s="62" t="s">
        <v>294</v>
      </c>
      <c r="DH151" s="62" t="s">
        <v>294</v>
      </c>
      <c r="DI151" s="62" t="s">
        <v>294</v>
      </c>
      <c r="DJ151" s="62" t="s">
        <v>294</v>
      </c>
      <c r="DK151" s="62" t="s">
        <v>294</v>
      </c>
      <c r="DL151" s="62" t="s">
        <v>294</v>
      </c>
      <c r="DM151" s="62" t="s">
        <v>294</v>
      </c>
      <c r="DN151" s="328" t="s">
        <v>294</v>
      </c>
      <c r="DO151" s="328" t="s">
        <v>294</v>
      </c>
      <c r="DP151" s="328" t="s">
        <v>294</v>
      </c>
      <c r="DQ151" s="328" t="s">
        <v>294</v>
      </c>
    </row>
    <row r="152" spans="1:121" x14ac:dyDescent="0.25">
      <c r="A152" s="62" t="s">
        <v>299</v>
      </c>
      <c r="B152" s="56" t="str">
        <f>VLOOKUP(Table3[[#This Row],[Station]], StationName, 2, FALSE)</f>
        <v>L03-214-2 (L03P18)</v>
      </c>
      <c r="C152" s="362">
        <v>1853003</v>
      </c>
      <c r="D152" s="325">
        <v>44448.448611111111</v>
      </c>
      <c r="E152" s="326" t="s">
        <v>283</v>
      </c>
      <c r="F152" s="327">
        <v>84</v>
      </c>
      <c r="G152" s="327">
        <v>105</v>
      </c>
      <c r="H152" s="327">
        <v>94</v>
      </c>
      <c r="I152" s="327">
        <v>87</v>
      </c>
      <c r="J152" s="327">
        <v>67</v>
      </c>
      <c r="K152" s="327">
        <v>67</v>
      </c>
      <c r="L152" s="327">
        <v>83</v>
      </c>
      <c r="M152" s="327">
        <v>88</v>
      </c>
      <c r="N152" s="327">
        <v>59</v>
      </c>
      <c r="O152" s="327" t="s">
        <v>259</v>
      </c>
      <c r="P152" s="62" t="s">
        <v>259</v>
      </c>
      <c r="Q152" s="62" t="s">
        <v>259</v>
      </c>
      <c r="R152" s="62" t="s">
        <v>259</v>
      </c>
      <c r="S152" s="327" t="s">
        <v>259</v>
      </c>
      <c r="T152" s="327" t="s">
        <v>259</v>
      </c>
      <c r="U152" s="327" t="s">
        <v>256</v>
      </c>
      <c r="V152" s="327" t="s">
        <v>256</v>
      </c>
      <c r="W152" s="327" t="s">
        <v>256</v>
      </c>
      <c r="X152" s="327" t="s">
        <v>256</v>
      </c>
      <c r="Y152" s="327" t="s">
        <v>284</v>
      </c>
      <c r="Z152" s="327" t="s">
        <v>256</v>
      </c>
      <c r="AA152" s="327" t="s">
        <v>256</v>
      </c>
      <c r="AB152" s="327" t="s">
        <v>256</v>
      </c>
      <c r="AC152" s="327" t="s">
        <v>256</v>
      </c>
      <c r="AD152" s="327" t="s">
        <v>256</v>
      </c>
      <c r="AE152" s="327" t="s">
        <v>256</v>
      </c>
      <c r="AF152" s="62" t="s">
        <v>256</v>
      </c>
      <c r="AG152" s="62" t="s">
        <v>256</v>
      </c>
      <c r="AH152" s="62" t="s">
        <v>256</v>
      </c>
      <c r="AI152" s="327" t="s">
        <v>256</v>
      </c>
      <c r="AJ152" s="327" t="s">
        <v>248</v>
      </c>
      <c r="AK152" s="327" t="s">
        <v>259</v>
      </c>
      <c r="AL152" s="327" t="s">
        <v>259</v>
      </c>
      <c r="AM152" s="327" t="s">
        <v>251</v>
      </c>
      <c r="AN152" s="327" t="s">
        <v>256</v>
      </c>
      <c r="AO152" s="327" t="s">
        <v>259</v>
      </c>
      <c r="AP152" s="62" t="s">
        <v>251</v>
      </c>
      <c r="AQ152" s="62" t="s">
        <v>256</v>
      </c>
      <c r="AR152" s="62" t="s">
        <v>256</v>
      </c>
      <c r="AS152" s="62" t="s">
        <v>285</v>
      </c>
      <c r="AT152" s="62" t="s">
        <v>259</v>
      </c>
      <c r="AU152" s="327" t="s">
        <v>284</v>
      </c>
      <c r="AV152" s="327" t="s">
        <v>259</v>
      </c>
      <c r="AW152" s="62" t="s">
        <v>256</v>
      </c>
      <c r="AX152" s="62" t="s">
        <v>256</v>
      </c>
      <c r="AY152" s="62" t="s">
        <v>256</v>
      </c>
      <c r="AZ152" s="62" t="s">
        <v>256</v>
      </c>
      <c r="BA152" s="62" t="s">
        <v>256</v>
      </c>
      <c r="BB152" s="62" t="s">
        <v>259</v>
      </c>
      <c r="BC152" s="62" t="s">
        <v>286</v>
      </c>
      <c r="BD152" s="62" t="s">
        <v>248</v>
      </c>
      <c r="BE152" s="62" t="s">
        <v>259</v>
      </c>
      <c r="BF152" s="62" t="s">
        <v>248</v>
      </c>
      <c r="BG152" s="327" t="s">
        <v>256</v>
      </c>
      <c r="BH152" s="327" t="s">
        <v>256</v>
      </c>
      <c r="BI152" s="327" t="s">
        <v>256</v>
      </c>
      <c r="BJ152" s="62" t="s">
        <v>256</v>
      </c>
      <c r="BK152" s="327" t="s">
        <v>256</v>
      </c>
      <c r="BL152" s="327" t="s">
        <v>256</v>
      </c>
      <c r="BM152" s="327" t="s">
        <v>259</v>
      </c>
      <c r="BN152" s="62" t="s">
        <v>256</v>
      </c>
      <c r="BO152" s="62" t="s">
        <v>259</v>
      </c>
      <c r="BP152" s="62" t="s">
        <v>284</v>
      </c>
      <c r="BQ152" s="62" t="s">
        <v>256</v>
      </c>
      <c r="BR152" s="327" t="s">
        <v>256</v>
      </c>
      <c r="BS152" s="327" t="s">
        <v>256</v>
      </c>
      <c r="BT152" s="327" t="s">
        <v>284</v>
      </c>
      <c r="BU152" s="327" t="s">
        <v>256</v>
      </c>
      <c r="BV152" s="327" t="s">
        <v>248</v>
      </c>
      <c r="BW152" s="62" t="s">
        <v>285</v>
      </c>
      <c r="BX152" s="62" t="s">
        <v>287</v>
      </c>
      <c r="BY152" s="62" t="s">
        <v>259</v>
      </c>
      <c r="BZ152" s="62" t="s">
        <v>259</v>
      </c>
      <c r="CA152" s="62">
        <v>11</v>
      </c>
      <c r="CB152" s="62">
        <v>31</v>
      </c>
      <c r="CC152" s="62">
        <v>353</v>
      </c>
      <c r="CD152" s="62">
        <v>3.1E-2</v>
      </c>
      <c r="CE152" s="62">
        <v>0.59</v>
      </c>
      <c r="CF152" s="62">
        <v>7.8</v>
      </c>
      <c r="CG152" s="62">
        <v>11</v>
      </c>
      <c r="CH152" s="62">
        <v>1260</v>
      </c>
      <c r="CI152" s="62">
        <v>150</v>
      </c>
      <c r="CJ152" s="62">
        <v>0.75</v>
      </c>
      <c r="CK152" s="62">
        <v>91.4</v>
      </c>
      <c r="CL152" s="62">
        <v>140</v>
      </c>
      <c r="CM152" s="62" t="s">
        <v>288</v>
      </c>
      <c r="CN152" s="62" t="s">
        <v>288</v>
      </c>
      <c r="CO152" s="62">
        <v>75</v>
      </c>
      <c r="CP152" s="62">
        <v>43</v>
      </c>
      <c r="CQ152" s="62" t="s">
        <v>254</v>
      </c>
      <c r="CR152" s="62" t="s">
        <v>254</v>
      </c>
      <c r="CS152" s="62" t="s">
        <v>421</v>
      </c>
      <c r="CT152" s="62">
        <v>30</v>
      </c>
      <c r="CU152" s="62" t="s">
        <v>153</v>
      </c>
      <c r="CV152" s="62">
        <v>310</v>
      </c>
      <c r="CW152" s="62">
        <v>2.1</v>
      </c>
      <c r="CX152" s="62">
        <v>1.6</v>
      </c>
      <c r="CY152" s="62">
        <v>0.27</v>
      </c>
      <c r="CZ152" s="62">
        <v>7.88</v>
      </c>
      <c r="DA152" s="62">
        <v>1.3</v>
      </c>
      <c r="DB152" s="62">
        <v>3700</v>
      </c>
      <c r="DC152" s="62">
        <v>1200</v>
      </c>
      <c r="DD152" s="62">
        <v>23.6</v>
      </c>
      <c r="DE152" s="62">
        <v>2400</v>
      </c>
      <c r="DF152" s="62" t="s">
        <v>289</v>
      </c>
      <c r="DG152" s="62">
        <v>5.2</v>
      </c>
      <c r="DH152" s="62">
        <v>2.8</v>
      </c>
      <c r="DI152" s="62">
        <v>4800</v>
      </c>
      <c r="DJ152" s="62" t="s">
        <v>422</v>
      </c>
      <c r="DK152" s="62" t="s">
        <v>354</v>
      </c>
      <c r="DL152" s="62" t="s">
        <v>360</v>
      </c>
      <c r="DM152" s="62">
        <v>7.9</v>
      </c>
      <c r="DN152" s="328">
        <v>8.4499999999999993</v>
      </c>
      <c r="DO152" s="328">
        <v>3041</v>
      </c>
      <c r="DP152" s="328">
        <v>22.81</v>
      </c>
      <c r="DQ152" s="328">
        <v>2.9</v>
      </c>
    </row>
    <row r="153" spans="1:121" hidden="1" x14ac:dyDescent="0.25">
      <c r="A153" s="62" t="s">
        <v>299</v>
      </c>
      <c r="B153" s="56" t="str">
        <f>VLOOKUP(Table3[[#This Row],[Station]], StationName, 2, FALSE)</f>
        <v>L03-214-2 (L03P18)</v>
      </c>
      <c r="C153" s="362">
        <v>1853006</v>
      </c>
      <c r="D153" s="325">
        <v>44448.448611111111</v>
      </c>
      <c r="E153" s="326" t="s">
        <v>293</v>
      </c>
      <c r="F153" s="327" t="s">
        <v>294</v>
      </c>
      <c r="G153" s="327" t="s">
        <v>294</v>
      </c>
      <c r="H153" s="327" t="s">
        <v>294</v>
      </c>
      <c r="I153" s="327" t="s">
        <v>294</v>
      </c>
      <c r="J153" s="327" t="s">
        <v>294</v>
      </c>
      <c r="K153" s="327" t="s">
        <v>294</v>
      </c>
      <c r="L153" s="327" t="s">
        <v>294</v>
      </c>
      <c r="M153" s="327" t="s">
        <v>294</v>
      </c>
      <c r="N153" s="327" t="s">
        <v>294</v>
      </c>
      <c r="O153" s="327" t="s">
        <v>294</v>
      </c>
      <c r="P153" s="62" t="s">
        <v>294</v>
      </c>
      <c r="Q153" s="62" t="s">
        <v>294</v>
      </c>
      <c r="R153" s="62" t="s">
        <v>294</v>
      </c>
      <c r="S153" s="327" t="s">
        <v>294</v>
      </c>
      <c r="T153" s="327" t="s">
        <v>294</v>
      </c>
      <c r="U153" s="327" t="s">
        <v>294</v>
      </c>
      <c r="V153" s="327" t="s">
        <v>294</v>
      </c>
      <c r="W153" s="327" t="s">
        <v>294</v>
      </c>
      <c r="X153" s="327" t="s">
        <v>294</v>
      </c>
      <c r="Y153" s="327" t="s">
        <v>294</v>
      </c>
      <c r="Z153" s="327" t="s">
        <v>294</v>
      </c>
      <c r="AA153" s="327" t="s">
        <v>294</v>
      </c>
      <c r="AB153" s="327" t="s">
        <v>294</v>
      </c>
      <c r="AC153" s="327" t="s">
        <v>294</v>
      </c>
      <c r="AD153" s="327" t="s">
        <v>294</v>
      </c>
      <c r="AE153" s="327" t="s">
        <v>294</v>
      </c>
      <c r="AF153" s="62" t="s">
        <v>294</v>
      </c>
      <c r="AG153" s="62" t="s">
        <v>294</v>
      </c>
      <c r="AH153" s="62" t="s">
        <v>294</v>
      </c>
      <c r="AI153" s="327" t="s">
        <v>294</v>
      </c>
      <c r="AJ153" s="327" t="s">
        <v>294</v>
      </c>
      <c r="AK153" s="327" t="s">
        <v>294</v>
      </c>
      <c r="AL153" s="327" t="s">
        <v>294</v>
      </c>
      <c r="AM153" s="327" t="s">
        <v>294</v>
      </c>
      <c r="AN153" s="327" t="s">
        <v>294</v>
      </c>
      <c r="AO153" s="327" t="s">
        <v>294</v>
      </c>
      <c r="AP153" s="62" t="s">
        <v>294</v>
      </c>
      <c r="AQ153" s="62" t="s">
        <v>294</v>
      </c>
      <c r="AR153" s="62" t="s">
        <v>294</v>
      </c>
      <c r="AS153" s="62" t="s">
        <v>294</v>
      </c>
      <c r="AT153" s="62" t="s">
        <v>294</v>
      </c>
      <c r="AU153" s="327" t="s">
        <v>294</v>
      </c>
      <c r="AV153" s="327" t="s">
        <v>294</v>
      </c>
      <c r="AW153" s="62" t="s">
        <v>294</v>
      </c>
      <c r="AX153" s="62" t="s">
        <v>294</v>
      </c>
      <c r="AY153" s="62" t="s">
        <v>294</v>
      </c>
      <c r="AZ153" s="62" t="s">
        <v>294</v>
      </c>
      <c r="BA153" s="62" t="s">
        <v>294</v>
      </c>
      <c r="BB153" s="62" t="s">
        <v>294</v>
      </c>
      <c r="BC153" s="62" t="s">
        <v>294</v>
      </c>
      <c r="BD153" s="62" t="s">
        <v>294</v>
      </c>
      <c r="BE153" s="62" t="s">
        <v>294</v>
      </c>
      <c r="BF153" s="62" t="s">
        <v>294</v>
      </c>
      <c r="BG153" s="327" t="s">
        <v>294</v>
      </c>
      <c r="BH153" s="327" t="s">
        <v>294</v>
      </c>
      <c r="BI153" s="327" t="s">
        <v>294</v>
      </c>
      <c r="BJ153" s="62" t="s">
        <v>294</v>
      </c>
      <c r="BK153" s="327" t="s">
        <v>294</v>
      </c>
      <c r="BL153" s="327" t="s">
        <v>294</v>
      </c>
      <c r="BM153" s="327" t="s">
        <v>294</v>
      </c>
      <c r="BN153" s="62" t="s">
        <v>294</v>
      </c>
      <c r="BO153" s="62" t="s">
        <v>294</v>
      </c>
      <c r="BP153" s="62" t="s">
        <v>294</v>
      </c>
      <c r="BQ153" s="62" t="s">
        <v>294</v>
      </c>
      <c r="BR153" s="327" t="s">
        <v>294</v>
      </c>
      <c r="BS153" s="327" t="s">
        <v>294</v>
      </c>
      <c r="BT153" s="327" t="s">
        <v>294</v>
      </c>
      <c r="BU153" s="327" t="s">
        <v>294</v>
      </c>
      <c r="BV153" s="327" t="s">
        <v>294</v>
      </c>
      <c r="BW153" s="62" t="s">
        <v>294</v>
      </c>
      <c r="BX153" s="62" t="s">
        <v>294</v>
      </c>
      <c r="BY153" s="62" t="s">
        <v>294</v>
      </c>
      <c r="BZ153" s="62" t="s">
        <v>294</v>
      </c>
      <c r="CA153" s="62">
        <v>11</v>
      </c>
      <c r="CB153" s="62">
        <v>7.9</v>
      </c>
      <c r="CC153" s="62" t="s">
        <v>294</v>
      </c>
      <c r="CD153" s="62" t="s">
        <v>230</v>
      </c>
      <c r="CE153" s="62">
        <v>0.38</v>
      </c>
      <c r="CF153" s="62">
        <v>3.5</v>
      </c>
      <c r="CG153" s="62" t="s">
        <v>294</v>
      </c>
      <c r="CH153" s="62" t="s">
        <v>294</v>
      </c>
      <c r="CI153" s="62" t="s">
        <v>286</v>
      </c>
      <c r="CJ153" s="62" t="s">
        <v>254</v>
      </c>
      <c r="CK153" s="62" t="s">
        <v>294</v>
      </c>
      <c r="CL153" s="62">
        <v>120</v>
      </c>
      <c r="CM153" s="62" t="s">
        <v>294</v>
      </c>
      <c r="CN153" s="62" t="s">
        <v>288</v>
      </c>
      <c r="CO153" s="62">
        <v>72</v>
      </c>
      <c r="CP153" s="62">
        <v>43</v>
      </c>
      <c r="CQ153" s="62" t="s">
        <v>254</v>
      </c>
      <c r="CR153" s="62" t="s">
        <v>254</v>
      </c>
      <c r="CS153" s="62" t="s">
        <v>294</v>
      </c>
      <c r="CT153" s="62">
        <v>13</v>
      </c>
      <c r="CU153" s="62" t="s">
        <v>294</v>
      </c>
      <c r="CV153" s="62" t="s">
        <v>294</v>
      </c>
      <c r="CW153" s="62" t="s">
        <v>294</v>
      </c>
      <c r="CX153" s="62" t="s">
        <v>294</v>
      </c>
      <c r="CY153" s="62" t="s">
        <v>294</v>
      </c>
      <c r="CZ153" s="62" t="s">
        <v>294</v>
      </c>
      <c r="DA153" s="62" t="s">
        <v>294</v>
      </c>
      <c r="DB153" s="62" t="s">
        <v>294</v>
      </c>
      <c r="DC153" s="62" t="s">
        <v>294</v>
      </c>
      <c r="DD153" s="62" t="s">
        <v>294</v>
      </c>
      <c r="DE153" s="62" t="s">
        <v>294</v>
      </c>
      <c r="DF153" s="62" t="s">
        <v>294</v>
      </c>
      <c r="DG153" s="62" t="s">
        <v>294</v>
      </c>
      <c r="DH153" s="62" t="s">
        <v>294</v>
      </c>
      <c r="DI153" s="62" t="s">
        <v>294</v>
      </c>
      <c r="DJ153" s="62" t="s">
        <v>294</v>
      </c>
      <c r="DK153" s="62" t="s">
        <v>294</v>
      </c>
      <c r="DL153" s="62" t="s">
        <v>294</v>
      </c>
      <c r="DM153" s="62" t="s">
        <v>294</v>
      </c>
      <c r="DN153" s="328" t="s">
        <v>294</v>
      </c>
      <c r="DO153" s="328" t="s">
        <v>294</v>
      </c>
      <c r="DP153" s="328" t="s">
        <v>294</v>
      </c>
      <c r="DQ153" s="328" t="s">
        <v>294</v>
      </c>
    </row>
    <row r="154" spans="1:121" x14ac:dyDescent="0.25">
      <c r="A154" s="62" t="s">
        <v>311</v>
      </c>
      <c r="B154" s="56" t="str">
        <f>VLOOKUP(Table3[[#This Row],[Station]], StationName, 2, FALSE)</f>
        <v>J06-9079-1 (J06P03)</v>
      </c>
      <c r="C154" s="362">
        <v>1921002</v>
      </c>
      <c r="D154" s="325">
        <v>44448.459722222222</v>
      </c>
      <c r="E154" s="326" t="s">
        <v>283</v>
      </c>
      <c r="F154" s="327">
        <v>78</v>
      </c>
      <c r="G154" s="327">
        <v>104</v>
      </c>
      <c r="H154" s="327">
        <v>99</v>
      </c>
      <c r="I154" s="327">
        <v>84</v>
      </c>
      <c r="J154" s="327">
        <v>63</v>
      </c>
      <c r="K154" s="327">
        <v>65</v>
      </c>
      <c r="L154" s="327">
        <v>81</v>
      </c>
      <c r="M154" s="327">
        <v>86</v>
      </c>
      <c r="N154" s="327">
        <v>52</v>
      </c>
      <c r="O154" s="327" t="s">
        <v>259</v>
      </c>
      <c r="P154" s="62" t="s">
        <v>259</v>
      </c>
      <c r="Q154" s="62" t="s">
        <v>259</v>
      </c>
      <c r="R154" s="62" t="s">
        <v>259</v>
      </c>
      <c r="S154" s="327" t="s">
        <v>259</v>
      </c>
      <c r="T154" s="327" t="s">
        <v>259</v>
      </c>
      <c r="U154" s="327" t="s">
        <v>256</v>
      </c>
      <c r="V154" s="327" t="s">
        <v>256</v>
      </c>
      <c r="W154" s="327" t="s">
        <v>256</v>
      </c>
      <c r="X154" s="327" t="s">
        <v>256</v>
      </c>
      <c r="Y154" s="327" t="s">
        <v>284</v>
      </c>
      <c r="Z154" s="327" t="s">
        <v>256</v>
      </c>
      <c r="AA154" s="327" t="s">
        <v>256</v>
      </c>
      <c r="AB154" s="327" t="s">
        <v>256</v>
      </c>
      <c r="AC154" s="327" t="s">
        <v>256</v>
      </c>
      <c r="AD154" s="327" t="s">
        <v>256</v>
      </c>
      <c r="AE154" s="327" t="s">
        <v>256</v>
      </c>
      <c r="AF154" s="62" t="s">
        <v>256</v>
      </c>
      <c r="AG154" s="62" t="s">
        <v>256</v>
      </c>
      <c r="AH154" s="62" t="s">
        <v>256</v>
      </c>
      <c r="AI154" s="327" t="s">
        <v>256</v>
      </c>
      <c r="AJ154" s="327" t="s">
        <v>248</v>
      </c>
      <c r="AK154" s="327" t="s">
        <v>259</v>
      </c>
      <c r="AL154" s="327" t="s">
        <v>259</v>
      </c>
      <c r="AM154" s="327" t="s">
        <v>251</v>
      </c>
      <c r="AN154" s="327" t="s">
        <v>256</v>
      </c>
      <c r="AO154" s="327" t="s">
        <v>259</v>
      </c>
      <c r="AP154" s="62" t="s">
        <v>251</v>
      </c>
      <c r="AQ154" s="62" t="s">
        <v>256</v>
      </c>
      <c r="AR154" s="62" t="s">
        <v>256</v>
      </c>
      <c r="AS154" s="62" t="s">
        <v>285</v>
      </c>
      <c r="AT154" s="62" t="s">
        <v>259</v>
      </c>
      <c r="AU154" s="327" t="s">
        <v>284</v>
      </c>
      <c r="AV154" s="327" t="s">
        <v>259</v>
      </c>
      <c r="AW154" s="62" t="s">
        <v>256</v>
      </c>
      <c r="AX154" s="62" t="s">
        <v>256</v>
      </c>
      <c r="AY154" s="62" t="s">
        <v>256</v>
      </c>
      <c r="AZ154" s="62" t="s">
        <v>256</v>
      </c>
      <c r="BA154" s="62" t="s">
        <v>256</v>
      </c>
      <c r="BB154" s="62" t="s">
        <v>259</v>
      </c>
      <c r="BC154" s="62" t="s">
        <v>286</v>
      </c>
      <c r="BD154" s="62" t="s">
        <v>248</v>
      </c>
      <c r="BE154" s="62" t="s">
        <v>259</v>
      </c>
      <c r="BF154" s="62" t="s">
        <v>248</v>
      </c>
      <c r="BG154" s="327" t="s">
        <v>256</v>
      </c>
      <c r="BH154" s="327" t="s">
        <v>256</v>
      </c>
      <c r="BI154" s="327" t="s">
        <v>256</v>
      </c>
      <c r="BJ154" s="62" t="s">
        <v>256</v>
      </c>
      <c r="BK154" s="327" t="s">
        <v>256</v>
      </c>
      <c r="BL154" s="327" t="s">
        <v>256</v>
      </c>
      <c r="BM154" s="327" t="s">
        <v>259</v>
      </c>
      <c r="BN154" s="62" t="s">
        <v>256</v>
      </c>
      <c r="BO154" s="62" t="s">
        <v>259</v>
      </c>
      <c r="BP154" s="62" t="s">
        <v>284</v>
      </c>
      <c r="BQ154" s="62" t="s">
        <v>256</v>
      </c>
      <c r="BR154" s="327" t="s">
        <v>256</v>
      </c>
      <c r="BS154" s="327" t="s">
        <v>256</v>
      </c>
      <c r="BT154" s="327" t="s">
        <v>284</v>
      </c>
      <c r="BU154" s="327" t="s">
        <v>256</v>
      </c>
      <c r="BV154" s="327" t="s">
        <v>248</v>
      </c>
      <c r="BW154" s="62" t="s">
        <v>285</v>
      </c>
      <c r="BX154" s="62" t="s">
        <v>287</v>
      </c>
      <c r="BY154" s="62" t="s">
        <v>259</v>
      </c>
      <c r="BZ154" s="62" t="s">
        <v>259</v>
      </c>
      <c r="CA154" s="62">
        <v>6.3</v>
      </c>
      <c r="CB154" s="62">
        <v>0.22</v>
      </c>
      <c r="CC154" s="62">
        <v>153</v>
      </c>
      <c r="CD154" s="62">
        <v>0.7</v>
      </c>
      <c r="CE154" s="62">
        <v>1.3</v>
      </c>
      <c r="CF154" s="62">
        <v>3.6</v>
      </c>
      <c r="CG154" s="62">
        <v>8.4</v>
      </c>
      <c r="CH154" s="62">
        <v>595</v>
      </c>
      <c r="CI154" s="62">
        <v>170</v>
      </c>
      <c r="CJ154" s="62" t="s">
        <v>254</v>
      </c>
      <c r="CK154" s="62">
        <v>51.4</v>
      </c>
      <c r="CL154" s="62">
        <v>15</v>
      </c>
      <c r="CM154" s="62">
        <v>5.0999999999999997E-2</v>
      </c>
      <c r="CN154" s="62" t="s">
        <v>288</v>
      </c>
      <c r="CO154" s="62">
        <v>4.5</v>
      </c>
      <c r="CP154" s="62">
        <v>7.2</v>
      </c>
      <c r="CQ154" s="62" t="s">
        <v>254</v>
      </c>
      <c r="CR154" s="62" t="s">
        <v>254</v>
      </c>
      <c r="CS154" s="62">
        <v>7.5</v>
      </c>
      <c r="CT154" s="62">
        <v>11</v>
      </c>
      <c r="CU154" s="62" t="s">
        <v>153</v>
      </c>
      <c r="CV154" s="62">
        <v>330</v>
      </c>
      <c r="CW154" s="62">
        <v>3.3</v>
      </c>
      <c r="CX154" s="62">
        <v>1.1000000000000001</v>
      </c>
      <c r="CY154" s="62">
        <v>0.25</v>
      </c>
      <c r="CZ154" s="62">
        <v>7.88</v>
      </c>
      <c r="DA154" s="62">
        <v>1.4</v>
      </c>
      <c r="DB154" s="62">
        <v>2600</v>
      </c>
      <c r="DC154" s="62">
        <v>410</v>
      </c>
      <c r="DD154" s="62">
        <v>23.4</v>
      </c>
      <c r="DE154" s="62">
        <v>1400</v>
      </c>
      <c r="DF154" s="62" t="s">
        <v>296</v>
      </c>
      <c r="DG154" s="62">
        <v>6.1</v>
      </c>
      <c r="DH154" s="62">
        <v>2.2000000000000002</v>
      </c>
      <c r="DI154" s="62">
        <v>8400</v>
      </c>
      <c r="DJ154" s="62" t="s">
        <v>423</v>
      </c>
      <c r="DK154" s="62">
        <v>1500</v>
      </c>
      <c r="DL154" s="62" t="s">
        <v>424</v>
      </c>
      <c r="DM154" s="62">
        <v>9.41</v>
      </c>
      <c r="DN154" s="328">
        <v>8.41</v>
      </c>
      <c r="DO154" s="328">
        <v>2114</v>
      </c>
      <c r="DP154" s="328">
        <v>22.36</v>
      </c>
      <c r="DQ154" s="328">
        <v>3.27</v>
      </c>
    </row>
    <row r="155" spans="1:121" hidden="1" x14ac:dyDescent="0.25">
      <c r="A155" s="62" t="s">
        <v>311</v>
      </c>
      <c r="B155" s="56" t="str">
        <f>VLOOKUP(Table3[[#This Row],[Station]], StationName, 2, FALSE)</f>
        <v>J06-9079-1 (J06P03)</v>
      </c>
      <c r="C155" s="362">
        <v>1921005</v>
      </c>
      <c r="D155" s="325">
        <v>44448.459722222222</v>
      </c>
      <c r="E155" s="326" t="s">
        <v>293</v>
      </c>
      <c r="F155" s="327" t="s">
        <v>294</v>
      </c>
      <c r="G155" s="327" t="s">
        <v>294</v>
      </c>
      <c r="H155" s="327" t="s">
        <v>294</v>
      </c>
      <c r="I155" s="327" t="s">
        <v>294</v>
      </c>
      <c r="J155" s="327" t="s">
        <v>294</v>
      </c>
      <c r="K155" s="327" t="s">
        <v>294</v>
      </c>
      <c r="L155" s="327" t="s">
        <v>294</v>
      </c>
      <c r="M155" s="327" t="s">
        <v>294</v>
      </c>
      <c r="N155" s="327" t="s">
        <v>294</v>
      </c>
      <c r="O155" s="327" t="s">
        <v>294</v>
      </c>
      <c r="P155" s="62" t="s">
        <v>294</v>
      </c>
      <c r="Q155" s="62" t="s">
        <v>294</v>
      </c>
      <c r="R155" s="62" t="s">
        <v>294</v>
      </c>
      <c r="S155" s="327" t="s">
        <v>294</v>
      </c>
      <c r="T155" s="327" t="s">
        <v>294</v>
      </c>
      <c r="U155" s="327" t="s">
        <v>294</v>
      </c>
      <c r="V155" s="327" t="s">
        <v>294</v>
      </c>
      <c r="W155" s="327" t="s">
        <v>294</v>
      </c>
      <c r="X155" s="327" t="s">
        <v>294</v>
      </c>
      <c r="Y155" s="327" t="s">
        <v>294</v>
      </c>
      <c r="Z155" s="327" t="s">
        <v>294</v>
      </c>
      <c r="AA155" s="327" t="s">
        <v>294</v>
      </c>
      <c r="AB155" s="327" t="s">
        <v>294</v>
      </c>
      <c r="AC155" s="327" t="s">
        <v>294</v>
      </c>
      <c r="AD155" s="327" t="s">
        <v>294</v>
      </c>
      <c r="AE155" s="327" t="s">
        <v>294</v>
      </c>
      <c r="AF155" s="62" t="s">
        <v>294</v>
      </c>
      <c r="AG155" s="62" t="s">
        <v>294</v>
      </c>
      <c r="AH155" s="62" t="s">
        <v>294</v>
      </c>
      <c r="AI155" s="327" t="s">
        <v>294</v>
      </c>
      <c r="AJ155" s="327" t="s">
        <v>294</v>
      </c>
      <c r="AK155" s="327" t="s">
        <v>294</v>
      </c>
      <c r="AL155" s="327" t="s">
        <v>294</v>
      </c>
      <c r="AM155" s="327" t="s">
        <v>294</v>
      </c>
      <c r="AN155" s="327" t="s">
        <v>294</v>
      </c>
      <c r="AO155" s="327" t="s">
        <v>294</v>
      </c>
      <c r="AP155" s="62" t="s">
        <v>294</v>
      </c>
      <c r="AQ155" s="62" t="s">
        <v>294</v>
      </c>
      <c r="AR155" s="62" t="s">
        <v>294</v>
      </c>
      <c r="AS155" s="62" t="s">
        <v>294</v>
      </c>
      <c r="AT155" s="62" t="s">
        <v>294</v>
      </c>
      <c r="AU155" s="327" t="s">
        <v>294</v>
      </c>
      <c r="AV155" s="327" t="s">
        <v>294</v>
      </c>
      <c r="AW155" s="62" t="s">
        <v>294</v>
      </c>
      <c r="AX155" s="62" t="s">
        <v>294</v>
      </c>
      <c r="AY155" s="62" t="s">
        <v>294</v>
      </c>
      <c r="AZ155" s="62" t="s">
        <v>294</v>
      </c>
      <c r="BA155" s="62" t="s">
        <v>294</v>
      </c>
      <c r="BB155" s="62" t="s">
        <v>294</v>
      </c>
      <c r="BC155" s="62" t="s">
        <v>294</v>
      </c>
      <c r="BD155" s="62" t="s">
        <v>294</v>
      </c>
      <c r="BE155" s="62" t="s">
        <v>294</v>
      </c>
      <c r="BF155" s="62" t="s">
        <v>294</v>
      </c>
      <c r="BG155" s="327" t="s">
        <v>294</v>
      </c>
      <c r="BH155" s="327" t="s">
        <v>294</v>
      </c>
      <c r="BI155" s="327" t="s">
        <v>294</v>
      </c>
      <c r="BJ155" s="62" t="s">
        <v>294</v>
      </c>
      <c r="BK155" s="327" t="s">
        <v>294</v>
      </c>
      <c r="BL155" s="327" t="s">
        <v>294</v>
      </c>
      <c r="BM155" s="327" t="s">
        <v>294</v>
      </c>
      <c r="BN155" s="62" t="s">
        <v>294</v>
      </c>
      <c r="BO155" s="62" t="s">
        <v>294</v>
      </c>
      <c r="BP155" s="62" t="s">
        <v>294</v>
      </c>
      <c r="BQ155" s="62" t="s">
        <v>294</v>
      </c>
      <c r="BR155" s="327" t="s">
        <v>294</v>
      </c>
      <c r="BS155" s="327" t="s">
        <v>294</v>
      </c>
      <c r="BT155" s="327" t="s">
        <v>294</v>
      </c>
      <c r="BU155" s="327" t="s">
        <v>294</v>
      </c>
      <c r="BV155" s="327" t="s">
        <v>294</v>
      </c>
      <c r="BW155" s="62" t="s">
        <v>294</v>
      </c>
      <c r="BX155" s="62" t="s">
        <v>294</v>
      </c>
      <c r="BY155" s="62" t="s">
        <v>294</v>
      </c>
      <c r="BZ155" s="62" t="s">
        <v>294</v>
      </c>
      <c r="CA155" s="62">
        <v>6.3</v>
      </c>
      <c r="CB155" s="62" t="s">
        <v>254</v>
      </c>
      <c r="CC155" s="62" t="s">
        <v>294</v>
      </c>
      <c r="CD155" s="62">
        <v>0.72</v>
      </c>
      <c r="CE155" s="62">
        <v>0.79</v>
      </c>
      <c r="CF155" s="62">
        <v>2.2000000000000002</v>
      </c>
      <c r="CG155" s="62" t="s">
        <v>294</v>
      </c>
      <c r="CH155" s="62" t="s">
        <v>294</v>
      </c>
      <c r="CI155" s="62">
        <v>24</v>
      </c>
      <c r="CJ155" s="62" t="s">
        <v>254</v>
      </c>
      <c r="CK155" s="62" t="s">
        <v>294</v>
      </c>
      <c r="CL155" s="62">
        <v>2.2999999999999998</v>
      </c>
      <c r="CM155" s="62" t="s">
        <v>294</v>
      </c>
      <c r="CN155" s="62" t="s">
        <v>288</v>
      </c>
      <c r="CO155" s="62">
        <v>3.7</v>
      </c>
      <c r="CP155" s="62">
        <v>7</v>
      </c>
      <c r="CQ155" s="62" t="s">
        <v>254</v>
      </c>
      <c r="CR155" s="62" t="s">
        <v>254</v>
      </c>
      <c r="CS155" s="62" t="s">
        <v>294</v>
      </c>
      <c r="CT155" s="62" t="s">
        <v>284</v>
      </c>
      <c r="CU155" s="62" t="s">
        <v>294</v>
      </c>
      <c r="CV155" s="62" t="s">
        <v>294</v>
      </c>
      <c r="CW155" s="62" t="s">
        <v>294</v>
      </c>
      <c r="CX155" s="62" t="s">
        <v>294</v>
      </c>
      <c r="CY155" s="62" t="s">
        <v>294</v>
      </c>
      <c r="CZ155" s="62" t="s">
        <v>294</v>
      </c>
      <c r="DA155" s="62" t="s">
        <v>294</v>
      </c>
      <c r="DB155" s="62" t="s">
        <v>294</v>
      </c>
      <c r="DC155" s="62" t="s">
        <v>294</v>
      </c>
      <c r="DD155" s="62" t="s">
        <v>294</v>
      </c>
      <c r="DE155" s="62" t="s">
        <v>294</v>
      </c>
      <c r="DF155" s="62" t="s">
        <v>294</v>
      </c>
      <c r="DG155" s="62" t="s">
        <v>294</v>
      </c>
      <c r="DH155" s="62" t="s">
        <v>294</v>
      </c>
      <c r="DI155" s="62" t="s">
        <v>294</v>
      </c>
      <c r="DJ155" s="62" t="s">
        <v>294</v>
      </c>
      <c r="DK155" s="62" t="s">
        <v>294</v>
      </c>
      <c r="DL155" s="62" t="s">
        <v>294</v>
      </c>
      <c r="DM155" s="62" t="s">
        <v>294</v>
      </c>
      <c r="DN155" s="328" t="s">
        <v>294</v>
      </c>
      <c r="DO155" s="328" t="s">
        <v>294</v>
      </c>
      <c r="DP155" s="328" t="s">
        <v>294</v>
      </c>
      <c r="DQ155" s="328" t="s">
        <v>294</v>
      </c>
    </row>
    <row r="156" spans="1:121" x14ac:dyDescent="0.25">
      <c r="A156" s="62" t="s">
        <v>333</v>
      </c>
      <c r="B156" s="56" t="str">
        <f>VLOOKUP(Table3[[#This Row],[Station]], StationName, 2, FALSE)</f>
        <v>L02-374-1 (L02P50)</v>
      </c>
      <c r="C156" s="362">
        <v>1857003</v>
      </c>
      <c r="D156" s="325">
        <v>44448.486111111109</v>
      </c>
      <c r="E156" s="326" t="s">
        <v>283</v>
      </c>
      <c r="F156" s="327">
        <v>78</v>
      </c>
      <c r="G156" s="327">
        <v>102</v>
      </c>
      <c r="H156" s="327">
        <v>95</v>
      </c>
      <c r="I156" s="327">
        <v>83</v>
      </c>
      <c r="J156" s="327">
        <v>62</v>
      </c>
      <c r="K156" s="327">
        <v>61</v>
      </c>
      <c r="L156" s="327">
        <v>76</v>
      </c>
      <c r="M156" s="327">
        <v>84</v>
      </c>
      <c r="N156" s="327">
        <v>50</v>
      </c>
      <c r="O156" s="327" t="s">
        <v>259</v>
      </c>
      <c r="P156" s="62" t="s">
        <v>259</v>
      </c>
      <c r="Q156" s="62" t="s">
        <v>259</v>
      </c>
      <c r="R156" s="62" t="s">
        <v>259</v>
      </c>
      <c r="S156" s="327" t="s">
        <v>259</v>
      </c>
      <c r="T156" s="327" t="s">
        <v>259</v>
      </c>
      <c r="U156" s="327" t="s">
        <v>256</v>
      </c>
      <c r="V156" s="327" t="s">
        <v>256</v>
      </c>
      <c r="W156" s="327" t="s">
        <v>256</v>
      </c>
      <c r="X156" s="327" t="s">
        <v>256</v>
      </c>
      <c r="Y156" s="327" t="s">
        <v>284</v>
      </c>
      <c r="Z156" s="327" t="s">
        <v>256</v>
      </c>
      <c r="AA156" s="327" t="s">
        <v>256</v>
      </c>
      <c r="AB156" s="327" t="s">
        <v>256</v>
      </c>
      <c r="AC156" s="327" t="s">
        <v>256</v>
      </c>
      <c r="AD156" s="327" t="s">
        <v>256</v>
      </c>
      <c r="AE156" s="327" t="s">
        <v>256</v>
      </c>
      <c r="AF156" s="62" t="s">
        <v>256</v>
      </c>
      <c r="AG156" s="62" t="s">
        <v>256</v>
      </c>
      <c r="AH156" s="62" t="s">
        <v>256</v>
      </c>
      <c r="AI156" s="327" t="s">
        <v>256</v>
      </c>
      <c r="AJ156" s="327" t="s">
        <v>248</v>
      </c>
      <c r="AK156" s="327" t="s">
        <v>259</v>
      </c>
      <c r="AL156" s="327" t="s">
        <v>259</v>
      </c>
      <c r="AM156" s="327" t="s">
        <v>251</v>
      </c>
      <c r="AN156" s="327" t="s">
        <v>256</v>
      </c>
      <c r="AO156" s="327" t="s">
        <v>259</v>
      </c>
      <c r="AP156" s="62" t="s">
        <v>251</v>
      </c>
      <c r="AQ156" s="62" t="s">
        <v>256</v>
      </c>
      <c r="AR156" s="62" t="s">
        <v>256</v>
      </c>
      <c r="AS156" s="62" t="s">
        <v>285</v>
      </c>
      <c r="AT156" s="62" t="s">
        <v>259</v>
      </c>
      <c r="AU156" s="327" t="s">
        <v>284</v>
      </c>
      <c r="AV156" s="327" t="s">
        <v>259</v>
      </c>
      <c r="AW156" s="62" t="s">
        <v>256</v>
      </c>
      <c r="AX156" s="62" t="s">
        <v>256</v>
      </c>
      <c r="AY156" s="62" t="s">
        <v>256</v>
      </c>
      <c r="AZ156" s="62" t="s">
        <v>256</v>
      </c>
      <c r="BA156" s="62" t="s">
        <v>256</v>
      </c>
      <c r="BB156" s="62" t="s">
        <v>259</v>
      </c>
      <c r="BC156" s="62" t="s">
        <v>286</v>
      </c>
      <c r="BD156" s="62" t="s">
        <v>248</v>
      </c>
      <c r="BE156" s="62" t="s">
        <v>259</v>
      </c>
      <c r="BF156" s="62" t="s">
        <v>248</v>
      </c>
      <c r="BG156" s="327" t="s">
        <v>256</v>
      </c>
      <c r="BH156" s="327" t="s">
        <v>256</v>
      </c>
      <c r="BI156" s="327" t="s">
        <v>256</v>
      </c>
      <c r="BJ156" s="62" t="s">
        <v>256</v>
      </c>
      <c r="BK156" s="327" t="s">
        <v>256</v>
      </c>
      <c r="BL156" s="327" t="s">
        <v>256</v>
      </c>
      <c r="BM156" s="327" t="s">
        <v>259</v>
      </c>
      <c r="BN156" s="62" t="s">
        <v>256</v>
      </c>
      <c r="BO156" s="62" t="s">
        <v>259</v>
      </c>
      <c r="BP156" s="62" t="s">
        <v>284</v>
      </c>
      <c r="BQ156" s="62" t="s">
        <v>256</v>
      </c>
      <c r="BR156" s="327" t="s">
        <v>256</v>
      </c>
      <c r="BS156" s="327" t="s">
        <v>256</v>
      </c>
      <c r="BT156" s="327" t="s">
        <v>284</v>
      </c>
      <c r="BU156" s="327" t="s">
        <v>256</v>
      </c>
      <c r="BV156" s="327" t="s">
        <v>248</v>
      </c>
      <c r="BW156" s="62" t="s">
        <v>285</v>
      </c>
      <c r="BX156" s="62" t="s">
        <v>287</v>
      </c>
      <c r="BY156" s="62" t="s">
        <v>259</v>
      </c>
      <c r="BZ156" s="62" t="s">
        <v>259</v>
      </c>
      <c r="CA156" s="62">
        <v>2.8</v>
      </c>
      <c r="CB156" s="62">
        <v>1</v>
      </c>
      <c r="CC156" s="62">
        <v>230</v>
      </c>
      <c r="CD156" s="62" t="s">
        <v>230</v>
      </c>
      <c r="CE156" s="62">
        <v>0.31</v>
      </c>
      <c r="CF156" s="62">
        <v>3.4</v>
      </c>
      <c r="CG156" s="62">
        <v>8.9</v>
      </c>
      <c r="CH156" s="62">
        <v>909</v>
      </c>
      <c r="CI156" s="62">
        <v>54</v>
      </c>
      <c r="CJ156" s="62" t="s">
        <v>254</v>
      </c>
      <c r="CK156" s="62">
        <v>81.2</v>
      </c>
      <c r="CL156" s="62">
        <v>150</v>
      </c>
      <c r="CM156" s="62">
        <v>0.05</v>
      </c>
      <c r="CN156" s="62" t="s">
        <v>288</v>
      </c>
      <c r="CO156" s="62">
        <v>7.2</v>
      </c>
      <c r="CP156" s="62">
        <v>21</v>
      </c>
      <c r="CQ156" s="62" t="s">
        <v>254</v>
      </c>
      <c r="CR156" s="62" t="s">
        <v>254</v>
      </c>
      <c r="CS156" s="62">
        <v>9.4</v>
      </c>
      <c r="CT156" s="62">
        <v>13</v>
      </c>
      <c r="CU156" s="62" t="s">
        <v>153</v>
      </c>
      <c r="CV156" s="62">
        <v>360</v>
      </c>
      <c r="CW156" s="62" t="s">
        <v>153</v>
      </c>
      <c r="CX156" s="62">
        <v>1</v>
      </c>
      <c r="CY156" s="62">
        <v>0.32</v>
      </c>
      <c r="CZ156" s="62">
        <v>7.3</v>
      </c>
      <c r="DA156" s="62">
        <v>1.4</v>
      </c>
      <c r="DB156" s="62">
        <v>3100</v>
      </c>
      <c r="DC156" s="62">
        <v>760</v>
      </c>
      <c r="DD156" s="62">
        <v>23.7</v>
      </c>
      <c r="DE156" s="62">
        <v>1900</v>
      </c>
      <c r="DF156" s="62" t="s">
        <v>289</v>
      </c>
      <c r="DG156" s="62">
        <v>0.9</v>
      </c>
      <c r="DH156" s="62">
        <v>0.97</v>
      </c>
      <c r="DI156" s="62">
        <v>3000</v>
      </c>
      <c r="DJ156" s="62">
        <v>1860</v>
      </c>
      <c r="DK156" s="62">
        <v>2300</v>
      </c>
      <c r="DL156" s="62" t="s">
        <v>425</v>
      </c>
      <c r="DM156" s="62">
        <v>6.64</v>
      </c>
      <c r="DN156" s="328">
        <v>7.7</v>
      </c>
      <c r="DO156" s="328">
        <v>2577.5</v>
      </c>
      <c r="DP156" s="328">
        <v>23.55</v>
      </c>
      <c r="DQ156" s="328">
        <v>1.27</v>
      </c>
    </row>
    <row r="157" spans="1:121" hidden="1" x14ac:dyDescent="0.25">
      <c r="A157" s="62" t="s">
        <v>333</v>
      </c>
      <c r="B157" s="56" t="str">
        <f>VLOOKUP(Table3[[#This Row],[Station]], StationName, 2, FALSE)</f>
        <v>L02-374-1 (L02P50)</v>
      </c>
      <c r="C157" s="362">
        <v>1857006</v>
      </c>
      <c r="D157" s="325">
        <v>44448.486111111109</v>
      </c>
      <c r="E157" s="326" t="s">
        <v>293</v>
      </c>
      <c r="F157" s="327" t="s">
        <v>294</v>
      </c>
      <c r="G157" s="327" t="s">
        <v>294</v>
      </c>
      <c r="H157" s="327" t="s">
        <v>294</v>
      </c>
      <c r="I157" s="327" t="s">
        <v>294</v>
      </c>
      <c r="J157" s="327" t="s">
        <v>294</v>
      </c>
      <c r="K157" s="327" t="s">
        <v>294</v>
      </c>
      <c r="L157" s="327" t="s">
        <v>294</v>
      </c>
      <c r="M157" s="327" t="s">
        <v>294</v>
      </c>
      <c r="N157" s="327" t="s">
        <v>294</v>
      </c>
      <c r="O157" s="327" t="s">
        <v>294</v>
      </c>
      <c r="P157" s="62" t="s">
        <v>294</v>
      </c>
      <c r="Q157" s="62" t="s">
        <v>294</v>
      </c>
      <c r="R157" s="62" t="s">
        <v>294</v>
      </c>
      <c r="S157" s="327" t="s">
        <v>294</v>
      </c>
      <c r="T157" s="327" t="s">
        <v>294</v>
      </c>
      <c r="U157" s="327" t="s">
        <v>294</v>
      </c>
      <c r="V157" s="327" t="s">
        <v>294</v>
      </c>
      <c r="W157" s="327" t="s">
        <v>294</v>
      </c>
      <c r="X157" s="327" t="s">
        <v>294</v>
      </c>
      <c r="Y157" s="327" t="s">
        <v>294</v>
      </c>
      <c r="Z157" s="327" t="s">
        <v>294</v>
      </c>
      <c r="AA157" s="327" t="s">
        <v>294</v>
      </c>
      <c r="AB157" s="327" t="s">
        <v>294</v>
      </c>
      <c r="AC157" s="327" t="s">
        <v>294</v>
      </c>
      <c r="AD157" s="327" t="s">
        <v>294</v>
      </c>
      <c r="AE157" s="327" t="s">
        <v>294</v>
      </c>
      <c r="AF157" s="62" t="s">
        <v>294</v>
      </c>
      <c r="AG157" s="62" t="s">
        <v>294</v>
      </c>
      <c r="AH157" s="62" t="s">
        <v>294</v>
      </c>
      <c r="AI157" s="327" t="s">
        <v>294</v>
      </c>
      <c r="AJ157" s="327" t="s">
        <v>294</v>
      </c>
      <c r="AK157" s="327" t="s">
        <v>294</v>
      </c>
      <c r="AL157" s="327" t="s">
        <v>294</v>
      </c>
      <c r="AM157" s="327" t="s">
        <v>294</v>
      </c>
      <c r="AN157" s="327" t="s">
        <v>294</v>
      </c>
      <c r="AO157" s="327" t="s">
        <v>294</v>
      </c>
      <c r="AP157" s="62" t="s">
        <v>294</v>
      </c>
      <c r="AQ157" s="62" t="s">
        <v>294</v>
      </c>
      <c r="AR157" s="62" t="s">
        <v>294</v>
      </c>
      <c r="AS157" s="62" t="s">
        <v>294</v>
      </c>
      <c r="AT157" s="62" t="s">
        <v>294</v>
      </c>
      <c r="AU157" s="327" t="s">
        <v>294</v>
      </c>
      <c r="AV157" s="327" t="s">
        <v>294</v>
      </c>
      <c r="AW157" s="62" t="s">
        <v>294</v>
      </c>
      <c r="AX157" s="62" t="s">
        <v>294</v>
      </c>
      <c r="AY157" s="62" t="s">
        <v>294</v>
      </c>
      <c r="AZ157" s="62" t="s">
        <v>294</v>
      </c>
      <c r="BA157" s="62" t="s">
        <v>294</v>
      </c>
      <c r="BB157" s="62" t="s">
        <v>294</v>
      </c>
      <c r="BC157" s="62" t="s">
        <v>294</v>
      </c>
      <c r="BD157" s="62" t="s">
        <v>294</v>
      </c>
      <c r="BE157" s="62" t="s">
        <v>294</v>
      </c>
      <c r="BF157" s="62" t="s">
        <v>294</v>
      </c>
      <c r="BG157" s="327" t="s">
        <v>294</v>
      </c>
      <c r="BH157" s="327" t="s">
        <v>294</v>
      </c>
      <c r="BI157" s="327" t="s">
        <v>294</v>
      </c>
      <c r="BJ157" s="62" t="s">
        <v>294</v>
      </c>
      <c r="BK157" s="327" t="s">
        <v>294</v>
      </c>
      <c r="BL157" s="327" t="s">
        <v>294</v>
      </c>
      <c r="BM157" s="327" t="s">
        <v>294</v>
      </c>
      <c r="BN157" s="62" t="s">
        <v>294</v>
      </c>
      <c r="BO157" s="62" t="s">
        <v>294</v>
      </c>
      <c r="BP157" s="62" t="s">
        <v>294</v>
      </c>
      <c r="BQ157" s="62" t="s">
        <v>294</v>
      </c>
      <c r="BR157" s="327" t="s">
        <v>294</v>
      </c>
      <c r="BS157" s="327" t="s">
        <v>294</v>
      </c>
      <c r="BT157" s="327" t="s">
        <v>294</v>
      </c>
      <c r="BU157" s="327" t="s">
        <v>294</v>
      </c>
      <c r="BV157" s="327" t="s">
        <v>294</v>
      </c>
      <c r="BW157" s="62" t="s">
        <v>294</v>
      </c>
      <c r="BX157" s="62" t="s">
        <v>294</v>
      </c>
      <c r="BY157" s="62" t="s">
        <v>294</v>
      </c>
      <c r="BZ157" s="62" t="s">
        <v>294</v>
      </c>
      <c r="CA157" s="62">
        <v>2.9</v>
      </c>
      <c r="CB157" s="62">
        <v>0.86</v>
      </c>
      <c r="CC157" s="62" t="s">
        <v>294</v>
      </c>
      <c r="CD157" s="62">
        <v>6.2E-2</v>
      </c>
      <c r="CE157" s="62" t="s">
        <v>254</v>
      </c>
      <c r="CF157" s="62">
        <v>3</v>
      </c>
      <c r="CG157" s="62" t="s">
        <v>294</v>
      </c>
      <c r="CH157" s="62" t="s">
        <v>294</v>
      </c>
      <c r="CI157" s="62" t="s">
        <v>286</v>
      </c>
      <c r="CJ157" s="62" t="s">
        <v>254</v>
      </c>
      <c r="CK157" s="62" t="s">
        <v>294</v>
      </c>
      <c r="CL157" s="62">
        <v>150</v>
      </c>
      <c r="CM157" s="62" t="s">
        <v>294</v>
      </c>
      <c r="CN157" s="62" t="s">
        <v>288</v>
      </c>
      <c r="CO157" s="62">
        <v>7.3</v>
      </c>
      <c r="CP157" s="62">
        <v>21</v>
      </c>
      <c r="CQ157" s="62" t="s">
        <v>254</v>
      </c>
      <c r="CR157" s="62" t="s">
        <v>254</v>
      </c>
      <c r="CS157" s="62" t="s">
        <v>294</v>
      </c>
      <c r="CT157" s="62">
        <v>12</v>
      </c>
      <c r="CU157" s="62" t="s">
        <v>294</v>
      </c>
      <c r="CV157" s="62" t="s">
        <v>294</v>
      </c>
      <c r="CW157" s="62" t="s">
        <v>294</v>
      </c>
      <c r="CX157" s="62" t="s">
        <v>294</v>
      </c>
      <c r="CY157" s="62" t="s">
        <v>294</v>
      </c>
      <c r="CZ157" s="62" t="s">
        <v>294</v>
      </c>
      <c r="DA157" s="62" t="s">
        <v>294</v>
      </c>
      <c r="DB157" s="62" t="s">
        <v>294</v>
      </c>
      <c r="DC157" s="62" t="s">
        <v>294</v>
      </c>
      <c r="DD157" s="62" t="s">
        <v>294</v>
      </c>
      <c r="DE157" s="62" t="s">
        <v>294</v>
      </c>
      <c r="DF157" s="62" t="s">
        <v>294</v>
      </c>
      <c r="DG157" s="62" t="s">
        <v>294</v>
      </c>
      <c r="DH157" s="62" t="s">
        <v>294</v>
      </c>
      <c r="DI157" s="62" t="s">
        <v>294</v>
      </c>
      <c r="DJ157" s="62" t="s">
        <v>294</v>
      </c>
      <c r="DK157" s="62" t="s">
        <v>294</v>
      </c>
      <c r="DL157" s="62" t="s">
        <v>294</v>
      </c>
      <c r="DM157" s="62" t="s">
        <v>294</v>
      </c>
      <c r="DN157" s="328" t="s">
        <v>294</v>
      </c>
      <c r="DO157" s="328" t="s">
        <v>294</v>
      </c>
      <c r="DP157" s="328" t="s">
        <v>294</v>
      </c>
      <c r="DQ157" s="328" t="s">
        <v>294</v>
      </c>
    </row>
    <row r="158" spans="1:121" x14ac:dyDescent="0.25">
      <c r="A158" s="62" t="s">
        <v>124</v>
      </c>
      <c r="B158" s="56" t="str">
        <f>VLOOKUP(Table3[[#This Row],[Station]], StationName, 2, FALSE)</f>
        <v>L03-418-8</v>
      </c>
      <c r="C158" s="362">
        <v>1934001</v>
      </c>
      <c r="D158" s="325">
        <v>44452.352083333331</v>
      </c>
      <c r="E158" s="326" t="s">
        <v>283</v>
      </c>
      <c r="F158" s="327">
        <v>70</v>
      </c>
      <c r="G158" s="327">
        <v>82</v>
      </c>
      <c r="H158" s="327">
        <v>68</v>
      </c>
      <c r="I158" s="327">
        <v>88</v>
      </c>
      <c r="J158" s="327">
        <v>51</v>
      </c>
      <c r="K158" s="327">
        <v>55</v>
      </c>
      <c r="L158" s="327">
        <v>54</v>
      </c>
      <c r="M158" s="327">
        <v>76</v>
      </c>
      <c r="N158" s="327">
        <v>51</v>
      </c>
      <c r="O158" s="327" t="s">
        <v>259</v>
      </c>
      <c r="P158" s="62" t="s">
        <v>259</v>
      </c>
      <c r="Q158" s="62" t="s">
        <v>259</v>
      </c>
      <c r="R158" s="62" t="s">
        <v>259</v>
      </c>
      <c r="S158" s="327" t="s">
        <v>259</v>
      </c>
      <c r="T158" s="327" t="s">
        <v>259</v>
      </c>
      <c r="U158" s="327">
        <v>5.05</v>
      </c>
      <c r="V158" s="327" t="s">
        <v>256</v>
      </c>
      <c r="W158" s="327" t="s">
        <v>256</v>
      </c>
      <c r="X158" s="327" t="s">
        <v>256</v>
      </c>
      <c r="Y158" s="327" t="s">
        <v>284</v>
      </c>
      <c r="Z158" s="327">
        <v>1.92</v>
      </c>
      <c r="AA158" s="327" t="s">
        <v>256</v>
      </c>
      <c r="AB158" s="327">
        <v>2.2599999999999998</v>
      </c>
      <c r="AC158" s="327">
        <v>1.85</v>
      </c>
      <c r="AD158" s="327">
        <v>3.53</v>
      </c>
      <c r="AE158" s="327" t="s">
        <v>256</v>
      </c>
      <c r="AF158" s="62" t="s">
        <v>256</v>
      </c>
      <c r="AG158" s="62" t="s">
        <v>256</v>
      </c>
      <c r="AH158" s="62" t="s">
        <v>256</v>
      </c>
      <c r="AI158" s="327">
        <v>1.28</v>
      </c>
      <c r="AJ158" s="327" t="s">
        <v>248</v>
      </c>
      <c r="AK158" s="327" t="s">
        <v>259</v>
      </c>
      <c r="AL158" s="327" t="s">
        <v>259</v>
      </c>
      <c r="AM158" s="327" t="s">
        <v>251</v>
      </c>
      <c r="AN158" s="327">
        <v>1.18</v>
      </c>
      <c r="AO158" s="327" t="s">
        <v>259</v>
      </c>
      <c r="AP158" s="62" t="s">
        <v>251</v>
      </c>
      <c r="AQ158" s="62">
        <v>3.37</v>
      </c>
      <c r="AR158" s="62" t="s">
        <v>256</v>
      </c>
      <c r="AS158" s="62" t="s">
        <v>285</v>
      </c>
      <c r="AT158" s="62" t="s">
        <v>259</v>
      </c>
      <c r="AU158" s="327" t="s">
        <v>284</v>
      </c>
      <c r="AV158" s="327" t="s">
        <v>259</v>
      </c>
      <c r="AW158" s="62" t="s">
        <v>256</v>
      </c>
      <c r="AX158" s="62" t="s">
        <v>256</v>
      </c>
      <c r="AY158" s="62" t="s">
        <v>256</v>
      </c>
      <c r="AZ158" s="62" t="s">
        <v>256</v>
      </c>
      <c r="BA158" s="62" t="s">
        <v>256</v>
      </c>
      <c r="BB158" s="62" t="s">
        <v>259</v>
      </c>
      <c r="BC158" s="62" t="s">
        <v>286</v>
      </c>
      <c r="BD158" s="62" t="s">
        <v>248</v>
      </c>
      <c r="BE158" s="62" t="s">
        <v>259</v>
      </c>
      <c r="BF158" s="62" t="s">
        <v>248</v>
      </c>
      <c r="BG158" s="327">
        <v>2.23</v>
      </c>
      <c r="BH158" s="327">
        <v>1.26</v>
      </c>
      <c r="BI158" s="327" t="s">
        <v>256</v>
      </c>
      <c r="BJ158" s="62" t="s">
        <v>256</v>
      </c>
      <c r="BK158" s="327" t="s">
        <v>256</v>
      </c>
      <c r="BL158" s="327" t="s">
        <v>256</v>
      </c>
      <c r="BM158" s="327" t="s">
        <v>259</v>
      </c>
      <c r="BN158" s="62" t="s">
        <v>256</v>
      </c>
      <c r="BO158" s="62" t="s">
        <v>259</v>
      </c>
      <c r="BP158" s="62" t="s">
        <v>284</v>
      </c>
      <c r="BQ158" s="62" t="s">
        <v>256</v>
      </c>
      <c r="BR158" s="327">
        <v>13</v>
      </c>
      <c r="BS158" s="327">
        <v>2.4500000000000002</v>
      </c>
      <c r="BT158" s="327" t="s">
        <v>284</v>
      </c>
      <c r="BU158" s="327">
        <v>3.41</v>
      </c>
      <c r="BV158" s="327" t="s">
        <v>248</v>
      </c>
      <c r="BW158" s="62" t="s">
        <v>285</v>
      </c>
      <c r="BX158" s="62" t="s">
        <v>287</v>
      </c>
      <c r="BY158" s="62" t="s">
        <v>259</v>
      </c>
      <c r="BZ158" s="62" t="s">
        <v>259</v>
      </c>
      <c r="CA158" s="62">
        <v>2</v>
      </c>
      <c r="CB158" s="62">
        <v>0.82</v>
      </c>
      <c r="CC158" s="62">
        <v>202</v>
      </c>
      <c r="CD158" s="62">
        <v>6.2E-2</v>
      </c>
      <c r="CE158" s="62">
        <v>0.31</v>
      </c>
      <c r="CF158" s="62">
        <v>5.6</v>
      </c>
      <c r="CG158" s="62">
        <v>10</v>
      </c>
      <c r="CH158" s="62">
        <v>769</v>
      </c>
      <c r="CI158" s="62">
        <v>110</v>
      </c>
      <c r="CJ158" s="62">
        <v>0.71</v>
      </c>
      <c r="CK158" s="62">
        <v>64.3</v>
      </c>
      <c r="CL158" s="62">
        <v>38</v>
      </c>
      <c r="CM158" s="62">
        <v>0.1</v>
      </c>
      <c r="CN158" s="62" t="s">
        <v>288</v>
      </c>
      <c r="CO158" s="62">
        <v>8.1999999999999993</v>
      </c>
      <c r="CP158" s="62">
        <v>3.9</v>
      </c>
      <c r="CQ158" s="62" t="s">
        <v>254</v>
      </c>
      <c r="CR158" s="62" t="s">
        <v>254</v>
      </c>
      <c r="CS158" s="62">
        <v>9.1</v>
      </c>
      <c r="CT158" s="62">
        <v>34</v>
      </c>
      <c r="CU158" s="62">
        <v>3.4</v>
      </c>
      <c r="CV158" s="62">
        <v>340</v>
      </c>
      <c r="CW158" s="62" t="s">
        <v>153</v>
      </c>
      <c r="CX158" s="62">
        <v>5.2</v>
      </c>
      <c r="CY158" s="62">
        <v>0.49</v>
      </c>
      <c r="CZ158" s="62">
        <v>7.59</v>
      </c>
      <c r="DA158" s="62">
        <v>2</v>
      </c>
      <c r="DB158" s="62">
        <v>3200</v>
      </c>
      <c r="DC158" s="62">
        <v>670</v>
      </c>
      <c r="DD158" s="62">
        <v>13</v>
      </c>
      <c r="DE158" s="62">
        <v>1700</v>
      </c>
      <c r="DF158" s="62" t="s">
        <v>289</v>
      </c>
      <c r="DG158" s="62">
        <v>1.8</v>
      </c>
      <c r="DH158" s="62">
        <v>2.1</v>
      </c>
      <c r="DI158" s="62">
        <v>23000</v>
      </c>
      <c r="DJ158" s="62">
        <v>29000</v>
      </c>
      <c r="DK158" s="62" t="s">
        <v>360</v>
      </c>
      <c r="DL158" s="62" t="s">
        <v>426</v>
      </c>
      <c r="DM158" s="62">
        <v>7.02</v>
      </c>
      <c r="DN158" s="328">
        <v>8.4</v>
      </c>
      <c r="DO158" s="328">
        <v>2485</v>
      </c>
      <c r="DP158" s="328">
        <v>20.95</v>
      </c>
      <c r="DQ158" s="328">
        <v>2.58</v>
      </c>
    </row>
    <row r="159" spans="1:121" hidden="1" x14ac:dyDescent="0.25">
      <c r="A159" s="62" t="s">
        <v>124</v>
      </c>
      <c r="B159" s="56" t="str">
        <f>VLOOKUP(Table3[[#This Row],[Station]], StationName, 2, FALSE)</f>
        <v>L03-418-8</v>
      </c>
      <c r="C159" s="362">
        <v>1934005</v>
      </c>
      <c r="D159" s="325">
        <v>44452.352083333331</v>
      </c>
      <c r="E159" s="326" t="s">
        <v>293</v>
      </c>
      <c r="F159" s="327" t="s">
        <v>294</v>
      </c>
      <c r="G159" s="327" t="s">
        <v>294</v>
      </c>
      <c r="H159" s="327" t="s">
        <v>294</v>
      </c>
      <c r="I159" s="327" t="s">
        <v>294</v>
      </c>
      <c r="J159" s="327" t="s">
        <v>294</v>
      </c>
      <c r="K159" s="327" t="s">
        <v>294</v>
      </c>
      <c r="L159" s="327" t="s">
        <v>294</v>
      </c>
      <c r="M159" s="327" t="s">
        <v>294</v>
      </c>
      <c r="N159" s="327" t="s">
        <v>294</v>
      </c>
      <c r="O159" s="327" t="s">
        <v>294</v>
      </c>
      <c r="P159" s="62" t="s">
        <v>294</v>
      </c>
      <c r="Q159" s="62" t="s">
        <v>294</v>
      </c>
      <c r="R159" s="62" t="s">
        <v>294</v>
      </c>
      <c r="S159" s="327" t="s">
        <v>294</v>
      </c>
      <c r="T159" s="327" t="s">
        <v>294</v>
      </c>
      <c r="U159" s="327" t="s">
        <v>294</v>
      </c>
      <c r="V159" s="327" t="s">
        <v>294</v>
      </c>
      <c r="W159" s="327" t="s">
        <v>294</v>
      </c>
      <c r="X159" s="327" t="s">
        <v>294</v>
      </c>
      <c r="Y159" s="327" t="s">
        <v>294</v>
      </c>
      <c r="Z159" s="327" t="s">
        <v>294</v>
      </c>
      <c r="AA159" s="327" t="s">
        <v>294</v>
      </c>
      <c r="AB159" s="327" t="s">
        <v>294</v>
      </c>
      <c r="AC159" s="327" t="s">
        <v>294</v>
      </c>
      <c r="AD159" s="327" t="s">
        <v>294</v>
      </c>
      <c r="AE159" s="327" t="s">
        <v>294</v>
      </c>
      <c r="AF159" s="62" t="s">
        <v>294</v>
      </c>
      <c r="AG159" s="62" t="s">
        <v>294</v>
      </c>
      <c r="AH159" s="62" t="s">
        <v>294</v>
      </c>
      <c r="AI159" s="327" t="s">
        <v>294</v>
      </c>
      <c r="AJ159" s="327" t="s">
        <v>294</v>
      </c>
      <c r="AK159" s="327" t="s">
        <v>294</v>
      </c>
      <c r="AL159" s="327" t="s">
        <v>294</v>
      </c>
      <c r="AM159" s="327" t="s">
        <v>294</v>
      </c>
      <c r="AN159" s="327" t="s">
        <v>294</v>
      </c>
      <c r="AO159" s="327" t="s">
        <v>294</v>
      </c>
      <c r="AP159" s="62" t="s">
        <v>294</v>
      </c>
      <c r="AQ159" s="62" t="s">
        <v>294</v>
      </c>
      <c r="AR159" s="62" t="s">
        <v>294</v>
      </c>
      <c r="AS159" s="62" t="s">
        <v>294</v>
      </c>
      <c r="AT159" s="62" t="s">
        <v>294</v>
      </c>
      <c r="AU159" s="327" t="s">
        <v>294</v>
      </c>
      <c r="AV159" s="327" t="s">
        <v>294</v>
      </c>
      <c r="AW159" s="62" t="s">
        <v>294</v>
      </c>
      <c r="AX159" s="62" t="s">
        <v>294</v>
      </c>
      <c r="AY159" s="62" t="s">
        <v>294</v>
      </c>
      <c r="AZ159" s="62" t="s">
        <v>294</v>
      </c>
      <c r="BA159" s="62" t="s">
        <v>294</v>
      </c>
      <c r="BB159" s="62" t="s">
        <v>294</v>
      </c>
      <c r="BC159" s="62" t="s">
        <v>294</v>
      </c>
      <c r="BD159" s="62" t="s">
        <v>294</v>
      </c>
      <c r="BE159" s="62" t="s">
        <v>294</v>
      </c>
      <c r="BF159" s="62" t="s">
        <v>294</v>
      </c>
      <c r="BG159" s="327" t="s">
        <v>294</v>
      </c>
      <c r="BH159" s="327" t="s">
        <v>294</v>
      </c>
      <c r="BI159" s="327" t="s">
        <v>294</v>
      </c>
      <c r="BJ159" s="62" t="s">
        <v>294</v>
      </c>
      <c r="BK159" s="327" t="s">
        <v>294</v>
      </c>
      <c r="BL159" s="327" t="s">
        <v>294</v>
      </c>
      <c r="BM159" s="327" t="s">
        <v>294</v>
      </c>
      <c r="BN159" s="62" t="s">
        <v>294</v>
      </c>
      <c r="BO159" s="62" t="s">
        <v>294</v>
      </c>
      <c r="BP159" s="62" t="s">
        <v>294</v>
      </c>
      <c r="BQ159" s="62" t="s">
        <v>294</v>
      </c>
      <c r="BR159" s="327" t="s">
        <v>294</v>
      </c>
      <c r="BS159" s="327" t="s">
        <v>294</v>
      </c>
      <c r="BT159" s="327" t="s">
        <v>294</v>
      </c>
      <c r="BU159" s="327" t="s">
        <v>294</v>
      </c>
      <c r="BV159" s="327" t="s">
        <v>294</v>
      </c>
      <c r="BW159" s="62" t="s">
        <v>294</v>
      </c>
      <c r="BX159" s="62" t="s">
        <v>294</v>
      </c>
      <c r="BY159" s="62" t="s">
        <v>294</v>
      </c>
      <c r="BZ159" s="62" t="s">
        <v>294</v>
      </c>
      <c r="CA159" s="62">
        <v>1.9</v>
      </c>
      <c r="CB159" s="62">
        <v>0.34</v>
      </c>
      <c r="CC159" s="62" t="s">
        <v>294</v>
      </c>
      <c r="CD159" s="62">
        <v>6.9000000000000006E-2</v>
      </c>
      <c r="CE159" s="62">
        <v>0.25</v>
      </c>
      <c r="CF159" s="62">
        <v>2.9</v>
      </c>
      <c r="CG159" s="62" t="s">
        <v>294</v>
      </c>
      <c r="CH159" s="62" t="s">
        <v>294</v>
      </c>
      <c r="CI159" s="62">
        <v>32</v>
      </c>
      <c r="CJ159" s="62" t="s">
        <v>254</v>
      </c>
      <c r="CK159" s="62" t="s">
        <v>294</v>
      </c>
      <c r="CL159" s="62">
        <v>28</v>
      </c>
      <c r="CM159" s="62" t="s">
        <v>294</v>
      </c>
      <c r="CN159" s="62" t="s">
        <v>288</v>
      </c>
      <c r="CO159" s="62">
        <v>7.7</v>
      </c>
      <c r="CP159" s="62">
        <v>3.9</v>
      </c>
      <c r="CQ159" s="62" t="s">
        <v>254</v>
      </c>
      <c r="CR159" s="62" t="s">
        <v>254</v>
      </c>
      <c r="CS159" s="62" t="s">
        <v>294</v>
      </c>
      <c r="CT159" s="62">
        <v>23</v>
      </c>
      <c r="CU159" s="62" t="s">
        <v>294</v>
      </c>
      <c r="CV159" s="62" t="s">
        <v>294</v>
      </c>
      <c r="CW159" s="62" t="s">
        <v>294</v>
      </c>
      <c r="CX159" s="62" t="s">
        <v>294</v>
      </c>
      <c r="CY159" s="62" t="s">
        <v>294</v>
      </c>
      <c r="CZ159" s="62" t="s">
        <v>294</v>
      </c>
      <c r="DA159" s="62" t="s">
        <v>294</v>
      </c>
      <c r="DB159" s="62" t="s">
        <v>294</v>
      </c>
      <c r="DC159" s="62" t="s">
        <v>294</v>
      </c>
      <c r="DD159" s="62" t="s">
        <v>294</v>
      </c>
      <c r="DE159" s="62" t="s">
        <v>294</v>
      </c>
      <c r="DF159" s="62" t="s">
        <v>294</v>
      </c>
      <c r="DG159" s="62" t="s">
        <v>294</v>
      </c>
      <c r="DH159" s="62" t="s">
        <v>294</v>
      </c>
      <c r="DI159" s="62" t="s">
        <v>294</v>
      </c>
      <c r="DJ159" s="62" t="s">
        <v>294</v>
      </c>
      <c r="DK159" s="62" t="s">
        <v>294</v>
      </c>
      <c r="DL159" s="62" t="s">
        <v>294</v>
      </c>
      <c r="DM159" s="62" t="s">
        <v>294</v>
      </c>
      <c r="DN159" s="328" t="s">
        <v>294</v>
      </c>
      <c r="DO159" s="328" t="s">
        <v>294</v>
      </c>
      <c r="DP159" s="328" t="s">
        <v>294</v>
      </c>
      <c r="DQ159" s="328" t="s">
        <v>294</v>
      </c>
    </row>
    <row r="160" spans="1:121" x14ac:dyDescent="0.25">
      <c r="A160" s="62" t="s">
        <v>344</v>
      </c>
      <c r="B160" s="56" t="str">
        <f>VLOOKUP(Table3[[#This Row],[Station]], StationName, 2, FALSE)</f>
        <v>J01-9224-1 (J01P24)</v>
      </c>
      <c r="C160" s="362">
        <v>1934002</v>
      </c>
      <c r="D160" s="325">
        <v>44452.406944444447</v>
      </c>
      <c r="E160" s="326" t="s">
        <v>283</v>
      </c>
      <c r="F160" s="327">
        <v>81</v>
      </c>
      <c r="G160" s="327">
        <v>89</v>
      </c>
      <c r="H160" s="327">
        <v>66</v>
      </c>
      <c r="I160" s="327">
        <v>90</v>
      </c>
      <c r="J160" s="327">
        <v>68</v>
      </c>
      <c r="K160" s="327">
        <v>66</v>
      </c>
      <c r="L160" s="327">
        <v>64</v>
      </c>
      <c r="M160" s="327">
        <v>84</v>
      </c>
      <c r="N160" s="327">
        <v>61</v>
      </c>
      <c r="O160" s="327" t="s">
        <v>259</v>
      </c>
      <c r="P160" s="62" t="s">
        <v>259</v>
      </c>
      <c r="Q160" s="62" t="s">
        <v>259</v>
      </c>
      <c r="R160" s="62" t="s">
        <v>259</v>
      </c>
      <c r="S160" s="327" t="s">
        <v>259</v>
      </c>
      <c r="T160" s="327" t="s">
        <v>259</v>
      </c>
      <c r="U160" s="327" t="s">
        <v>256</v>
      </c>
      <c r="V160" s="327" t="s">
        <v>256</v>
      </c>
      <c r="W160" s="327" t="s">
        <v>256</v>
      </c>
      <c r="X160" s="327" t="s">
        <v>256</v>
      </c>
      <c r="Y160" s="327" t="s">
        <v>284</v>
      </c>
      <c r="Z160" s="327">
        <v>1.22</v>
      </c>
      <c r="AA160" s="327">
        <v>1.92</v>
      </c>
      <c r="AB160" s="327">
        <v>3.15</v>
      </c>
      <c r="AC160" s="327">
        <v>12.3</v>
      </c>
      <c r="AD160" s="327">
        <v>4.03</v>
      </c>
      <c r="AE160" s="327" t="s">
        <v>256</v>
      </c>
      <c r="AF160" s="62" t="s">
        <v>256</v>
      </c>
      <c r="AG160" s="62" t="s">
        <v>256</v>
      </c>
      <c r="AH160" s="62" t="s">
        <v>256</v>
      </c>
      <c r="AI160" s="327" t="s">
        <v>256</v>
      </c>
      <c r="AJ160" s="327" t="s">
        <v>248</v>
      </c>
      <c r="AK160" s="327" t="s">
        <v>259</v>
      </c>
      <c r="AL160" s="327" t="s">
        <v>259</v>
      </c>
      <c r="AM160" s="327" t="s">
        <v>251</v>
      </c>
      <c r="AN160" s="327">
        <v>2.0499999999999998</v>
      </c>
      <c r="AO160" s="327" t="s">
        <v>259</v>
      </c>
      <c r="AP160" s="62" t="s">
        <v>251</v>
      </c>
      <c r="AQ160" s="62">
        <v>2.25</v>
      </c>
      <c r="AR160" s="62" t="s">
        <v>256</v>
      </c>
      <c r="AS160" s="62" t="s">
        <v>285</v>
      </c>
      <c r="AT160" s="62" t="s">
        <v>259</v>
      </c>
      <c r="AU160" s="327" t="s">
        <v>284</v>
      </c>
      <c r="AV160" s="327" t="s">
        <v>259</v>
      </c>
      <c r="AW160" s="62" t="s">
        <v>256</v>
      </c>
      <c r="AX160" s="62" t="s">
        <v>256</v>
      </c>
      <c r="AY160" s="62" t="s">
        <v>256</v>
      </c>
      <c r="AZ160" s="62" t="s">
        <v>256</v>
      </c>
      <c r="BA160" s="62" t="s">
        <v>256</v>
      </c>
      <c r="BB160" s="62" t="s">
        <v>259</v>
      </c>
      <c r="BC160" s="62" t="s">
        <v>286</v>
      </c>
      <c r="BD160" s="62" t="s">
        <v>248</v>
      </c>
      <c r="BE160" s="62" t="s">
        <v>259</v>
      </c>
      <c r="BF160" s="62" t="s">
        <v>248</v>
      </c>
      <c r="BG160" s="327">
        <v>4.32</v>
      </c>
      <c r="BH160" s="327" t="s">
        <v>256</v>
      </c>
      <c r="BI160" s="327" t="s">
        <v>256</v>
      </c>
      <c r="BJ160" s="62" t="s">
        <v>256</v>
      </c>
      <c r="BK160" s="327" t="s">
        <v>256</v>
      </c>
      <c r="BL160" s="327" t="s">
        <v>256</v>
      </c>
      <c r="BM160" s="327" t="s">
        <v>259</v>
      </c>
      <c r="BN160" s="62" t="s">
        <v>256</v>
      </c>
      <c r="BO160" s="62" t="s">
        <v>259</v>
      </c>
      <c r="BP160" s="62" t="s">
        <v>284</v>
      </c>
      <c r="BQ160" s="62" t="s">
        <v>256</v>
      </c>
      <c r="BR160" s="327">
        <v>3.28</v>
      </c>
      <c r="BS160" s="327">
        <v>2.0299999999999998</v>
      </c>
      <c r="BT160" s="327" t="s">
        <v>284</v>
      </c>
      <c r="BU160" s="327">
        <v>6.73</v>
      </c>
      <c r="BV160" s="327" t="s">
        <v>248</v>
      </c>
      <c r="BW160" s="62" t="s">
        <v>285</v>
      </c>
      <c r="BX160" s="62" t="s">
        <v>287</v>
      </c>
      <c r="BY160" s="62" t="s">
        <v>259</v>
      </c>
      <c r="BZ160" s="62" t="s">
        <v>259</v>
      </c>
      <c r="CA160" s="62">
        <v>8.5</v>
      </c>
      <c r="CB160" s="62">
        <v>1.5</v>
      </c>
      <c r="CC160" s="62">
        <v>291</v>
      </c>
      <c r="CD160" s="62">
        <v>3.5999999999999997E-2</v>
      </c>
      <c r="CE160" s="62">
        <v>0.38</v>
      </c>
      <c r="CF160" s="62">
        <v>2.7</v>
      </c>
      <c r="CG160" s="62">
        <v>2.8</v>
      </c>
      <c r="CH160" s="62">
        <v>1130</v>
      </c>
      <c r="CI160" s="62">
        <v>490</v>
      </c>
      <c r="CJ160" s="62">
        <v>0.34</v>
      </c>
      <c r="CK160" s="62">
        <v>98.6</v>
      </c>
      <c r="CL160" s="62">
        <v>330</v>
      </c>
      <c r="CM160" s="62" t="s">
        <v>288</v>
      </c>
      <c r="CN160" s="62" t="s">
        <v>288</v>
      </c>
      <c r="CO160" s="62">
        <v>11</v>
      </c>
      <c r="CP160" s="62">
        <v>1.4</v>
      </c>
      <c r="CQ160" s="62" t="s">
        <v>254</v>
      </c>
      <c r="CR160" s="62" t="s">
        <v>254</v>
      </c>
      <c r="CS160" s="62">
        <v>2.8</v>
      </c>
      <c r="CT160" s="62">
        <v>22</v>
      </c>
      <c r="CU160" s="62" t="s">
        <v>153</v>
      </c>
      <c r="CV160" s="62">
        <v>400</v>
      </c>
      <c r="CW160" s="62" t="s">
        <v>153</v>
      </c>
      <c r="CX160" s="62">
        <v>0.39</v>
      </c>
      <c r="CY160" s="62">
        <v>9.2999999999999999E-2</v>
      </c>
      <c r="CZ160" s="62">
        <v>7.58</v>
      </c>
      <c r="DA160" s="62">
        <v>0.81</v>
      </c>
      <c r="DB160" s="62">
        <v>4600</v>
      </c>
      <c r="DC160" s="62">
        <v>1200</v>
      </c>
      <c r="DD160" s="62">
        <v>12.4</v>
      </c>
      <c r="DE160" s="62">
        <v>2600</v>
      </c>
      <c r="DF160" s="62" t="s">
        <v>289</v>
      </c>
      <c r="DG160" s="62">
        <v>13</v>
      </c>
      <c r="DH160" s="62">
        <v>2.9</v>
      </c>
      <c r="DI160" s="62">
        <v>860</v>
      </c>
      <c r="DJ160" s="62">
        <v>290</v>
      </c>
      <c r="DK160" s="62">
        <v>280</v>
      </c>
      <c r="DL160" s="62" t="s">
        <v>411</v>
      </c>
      <c r="DM160" s="62">
        <v>6.5</v>
      </c>
      <c r="DN160" s="328">
        <v>8.15</v>
      </c>
      <c r="DO160" s="328">
        <v>3501</v>
      </c>
      <c r="DP160" s="328">
        <v>21.2</v>
      </c>
      <c r="DQ160" s="328">
        <v>2.1</v>
      </c>
    </row>
    <row r="161" spans="1:121" hidden="1" x14ac:dyDescent="0.25">
      <c r="A161" s="62" t="s">
        <v>344</v>
      </c>
      <c r="B161" s="56" t="str">
        <f>VLOOKUP(Table3[[#This Row],[Station]], StationName, 2, FALSE)</f>
        <v>J01-9224-1 (J01P24)</v>
      </c>
      <c r="C161" s="362">
        <v>1934006</v>
      </c>
      <c r="D161" s="325">
        <v>44452.406944444447</v>
      </c>
      <c r="E161" s="326" t="s">
        <v>293</v>
      </c>
      <c r="F161" s="327" t="s">
        <v>294</v>
      </c>
      <c r="G161" s="327" t="s">
        <v>294</v>
      </c>
      <c r="H161" s="327" t="s">
        <v>294</v>
      </c>
      <c r="I161" s="327" t="s">
        <v>294</v>
      </c>
      <c r="J161" s="327" t="s">
        <v>294</v>
      </c>
      <c r="K161" s="327" t="s">
        <v>294</v>
      </c>
      <c r="L161" s="327" t="s">
        <v>294</v>
      </c>
      <c r="M161" s="327" t="s">
        <v>294</v>
      </c>
      <c r="N161" s="327" t="s">
        <v>294</v>
      </c>
      <c r="O161" s="327" t="s">
        <v>294</v>
      </c>
      <c r="P161" s="62" t="s">
        <v>294</v>
      </c>
      <c r="Q161" s="62" t="s">
        <v>294</v>
      </c>
      <c r="R161" s="62" t="s">
        <v>294</v>
      </c>
      <c r="S161" s="327" t="s">
        <v>294</v>
      </c>
      <c r="T161" s="327" t="s">
        <v>294</v>
      </c>
      <c r="U161" s="327" t="s">
        <v>294</v>
      </c>
      <c r="V161" s="327" t="s">
        <v>294</v>
      </c>
      <c r="W161" s="327" t="s">
        <v>294</v>
      </c>
      <c r="X161" s="327" t="s">
        <v>294</v>
      </c>
      <c r="Y161" s="327" t="s">
        <v>294</v>
      </c>
      <c r="Z161" s="327" t="s">
        <v>294</v>
      </c>
      <c r="AA161" s="327" t="s">
        <v>294</v>
      </c>
      <c r="AB161" s="327" t="s">
        <v>294</v>
      </c>
      <c r="AC161" s="327" t="s">
        <v>294</v>
      </c>
      <c r="AD161" s="327" t="s">
        <v>294</v>
      </c>
      <c r="AE161" s="327" t="s">
        <v>294</v>
      </c>
      <c r="AF161" s="62" t="s">
        <v>294</v>
      </c>
      <c r="AG161" s="62" t="s">
        <v>294</v>
      </c>
      <c r="AH161" s="62" t="s">
        <v>294</v>
      </c>
      <c r="AI161" s="327" t="s">
        <v>294</v>
      </c>
      <c r="AJ161" s="327" t="s">
        <v>294</v>
      </c>
      <c r="AK161" s="327" t="s">
        <v>294</v>
      </c>
      <c r="AL161" s="327" t="s">
        <v>294</v>
      </c>
      <c r="AM161" s="327" t="s">
        <v>294</v>
      </c>
      <c r="AN161" s="327" t="s">
        <v>294</v>
      </c>
      <c r="AO161" s="327" t="s">
        <v>294</v>
      </c>
      <c r="AP161" s="62" t="s">
        <v>294</v>
      </c>
      <c r="AQ161" s="62" t="s">
        <v>294</v>
      </c>
      <c r="AR161" s="62" t="s">
        <v>294</v>
      </c>
      <c r="AS161" s="62" t="s">
        <v>294</v>
      </c>
      <c r="AT161" s="62" t="s">
        <v>294</v>
      </c>
      <c r="AU161" s="327" t="s">
        <v>294</v>
      </c>
      <c r="AV161" s="327" t="s">
        <v>294</v>
      </c>
      <c r="AW161" s="62" t="s">
        <v>294</v>
      </c>
      <c r="AX161" s="62" t="s">
        <v>294</v>
      </c>
      <c r="AY161" s="62" t="s">
        <v>294</v>
      </c>
      <c r="AZ161" s="62" t="s">
        <v>294</v>
      </c>
      <c r="BA161" s="62" t="s">
        <v>294</v>
      </c>
      <c r="BB161" s="62" t="s">
        <v>294</v>
      </c>
      <c r="BC161" s="62" t="s">
        <v>294</v>
      </c>
      <c r="BD161" s="62" t="s">
        <v>294</v>
      </c>
      <c r="BE161" s="62" t="s">
        <v>294</v>
      </c>
      <c r="BF161" s="62" t="s">
        <v>294</v>
      </c>
      <c r="BG161" s="327" t="s">
        <v>294</v>
      </c>
      <c r="BH161" s="327" t="s">
        <v>294</v>
      </c>
      <c r="BI161" s="327" t="s">
        <v>294</v>
      </c>
      <c r="BJ161" s="62" t="s">
        <v>294</v>
      </c>
      <c r="BK161" s="327" t="s">
        <v>294</v>
      </c>
      <c r="BL161" s="327" t="s">
        <v>294</v>
      </c>
      <c r="BM161" s="327" t="s">
        <v>294</v>
      </c>
      <c r="BN161" s="62" t="s">
        <v>294</v>
      </c>
      <c r="BO161" s="62" t="s">
        <v>294</v>
      </c>
      <c r="BP161" s="62" t="s">
        <v>294</v>
      </c>
      <c r="BQ161" s="62" t="s">
        <v>294</v>
      </c>
      <c r="BR161" s="327" t="s">
        <v>294</v>
      </c>
      <c r="BS161" s="327" t="s">
        <v>294</v>
      </c>
      <c r="BT161" s="327" t="s">
        <v>294</v>
      </c>
      <c r="BU161" s="327" t="s">
        <v>294</v>
      </c>
      <c r="BV161" s="327" t="s">
        <v>294</v>
      </c>
      <c r="BW161" s="62" t="s">
        <v>294</v>
      </c>
      <c r="BX161" s="62" t="s">
        <v>294</v>
      </c>
      <c r="BY161" s="62" t="s">
        <v>294</v>
      </c>
      <c r="BZ161" s="62" t="s">
        <v>294</v>
      </c>
      <c r="CA161" s="62">
        <v>7</v>
      </c>
      <c r="CB161" s="62">
        <v>1</v>
      </c>
      <c r="CC161" s="62" t="s">
        <v>294</v>
      </c>
      <c r="CD161" s="62" t="s">
        <v>230</v>
      </c>
      <c r="CE161" s="62" t="s">
        <v>254</v>
      </c>
      <c r="CF161" s="62">
        <v>1.2</v>
      </c>
      <c r="CG161" s="62" t="s">
        <v>294</v>
      </c>
      <c r="CH161" s="62" t="s">
        <v>294</v>
      </c>
      <c r="CI161" s="62" t="s">
        <v>286</v>
      </c>
      <c r="CJ161" s="62" t="s">
        <v>254</v>
      </c>
      <c r="CK161" s="62" t="s">
        <v>294</v>
      </c>
      <c r="CL161" s="62">
        <v>140</v>
      </c>
      <c r="CM161" s="62" t="s">
        <v>294</v>
      </c>
      <c r="CN161" s="62" t="s">
        <v>288</v>
      </c>
      <c r="CO161" s="62">
        <v>7.8</v>
      </c>
      <c r="CP161" s="62">
        <v>1.4</v>
      </c>
      <c r="CQ161" s="62" t="s">
        <v>254</v>
      </c>
      <c r="CR161" s="62" t="s">
        <v>254</v>
      </c>
      <c r="CS161" s="62" t="s">
        <v>294</v>
      </c>
      <c r="CT161" s="62" t="s">
        <v>284</v>
      </c>
      <c r="CU161" s="62" t="s">
        <v>294</v>
      </c>
      <c r="CV161" s="62" t="s">
        <v>294</v>
      </c>
      <c r="CW161" s="62" t="s">
        <v>294</v>
      </c>
      <c r="CX161" s="62" t="s">
        <v>294</v>
      </c>
      <c r="CY161" s="62" t="s">
        <v>294</v>
      </c>
      <c r="CZ161" s="62" t="s">
        <v>294</v>
      </c>
      <c r="DA161" s="62" t="s">
        <v>294</v>
      </c>
      <c r="DB161" s="62" t="s">
        <v>294</v>
      </c>
      <c r="DC161" s="62" t="s">
        <v>294</v>
      </c>
      <c r="DD161" s="62" t="s">
        <v>294</v>
      </c>
      <c r="DE161" s="62" t="s">
        <v>294</v>
      </c>
      <c r="DF161" s="62" t="s">
        <v>294</v>
      </c>
      <c r="DG161" s="62" t="s">
        <v>294</v>
      </c>
      <c r="DH161" s="62" t="s">
        <v>294</v>
      </c>
      <c r="DI161" s="62" t="s">
        <v>294</v>
      </c>
      <c r="DJ161" s="62" t="s">
        <v>294</v>
      </c>
      <c r="DK161" s="62" t="s">
        <v>294</v>
      </c>
      <c r="DL161" s="62" t="s">
        <v>294</v>
      </c>
      <c r="DM161" s="62" t="s">
        <v>294</v>
      </c>
      <c r="DN161" s="328" t="s">
        <v>294</v>
      </c>
      <c r="DO161" s="328" t="s">
        <v>294</v>
      </c>
      <c r="DP161" s="328" t="s">
        <v>294</v>
      </c>
      <c r="DQ161" s="328" t="s">
        <v>294</v>
      </c>
    </row>
    <row r="162" spans="1:121" x14ac:dyDescent="0.25">
      <c r="A162" s="62" t="s">
        <v>345</v>
      </c>
      <c r="B162" s="56" t="str">
        <f>VLOOKUP(Table3[[#This Row],[Station]], StationName, 2, FALSE)</f>
        <v>J01-9224-2 (J01P25)</v>
      </c>
      <c r="C162" s="362">
        <v>1934003</v>
      </c>
      <c r="D162" s="325">
        <v>44452.428472222222</v>
      </c>
      <c r="E162" s="326" t="s">
        <v>283</v>
      </c>
      <c r="F162" s="327">
        <v>80</v>
      </c>
      <c r="G162" s="327">
        <v>85</v>
      </c>
      <c r="H162" s="327">
        <v>64</v>
      </c>
      <c r="I162" s="327">
        <v>85</v>
      </c>
      <c r="J162" s="327">
        <v>70</v>
      </c>
      <c r="K162" s="327">
        <v>68</v>
      </c>
      <c r="L162" s="327">
        <v>70</v>
      </c>
      <c r="M162" s="327">
        <v>83</v>
      </c>
      <c r="N162" s="327">
        <v>59</v>
      </c>
      <c r="O162" s="327" t="s">
        <v>259</v>
      </c>
      <c r="P162" s="62" t="s">
        <v>259</v>
      </c>
      <c r="Q162" s="62" t="s">
        <v>259</v>
      </c>
      <c r="R162" s="62" t="s">
        <v>259</v>
      </c>
      <c r="S162" s="327" t="s">
        <v>259</v>
      </c>
      <c r="T162" s="327" t="s">
        <v>259</v>
      </c>
      <c r="U162" s="327" t="s">
        <v>256</v>
      </c>
      <c r="V162" s="327" t="s">
        <v>256</v>
      </c>
      <c r="W162" s="327" t="s">
        <v>256</v>
      </c>
      <c r="X162" s="327" t="s">
        <v>256</v>
      </c>
      <c r="Y162" s="327" t="s">
        <v>284</v>
      </c>
      <c r="Z162" s="327" t="s">
        <v>256</v>
      </c>
      <c r="AA162" s="327" t="s">
        <v>256</v>
      </c>
      <c r="AB162" s="327" t="s">
        <v>256</v>
      </c>
      <c r="AC162" s="327" t="s">
        <v>256</v>
      </c>
      <c r="AD162" s="327" t="s">
        <v>256</v>
      </c>
      <c r="AE162" s="327" t="s">
        <v>256</v>
      </c>
      <c r="AF162" s="62" t="s">
        <v>256</v>
      </c>
      <c r="AG162" s="62" t="s">
        <v>256</v>
      </c>
      <c r="AH162" s="62" t="s">
        <v>256</v>
      </c>
      <c r="AI162" s="327" t="s">
        <v>256</v>
      </c>
      <c r="AJ162" s="327" t="s">
        <v>248</v>
      </c>
      <c r="AK162" s="327" t="s">
        <v>259</v>
      </c>
      <c r="AL162" s="327" t="s">
        <v>259</v>
      </c>
      <c r="AM162" s="327" t="s">
        <v>251</v>
      </c>
      <c r="AN162" s="327" t="s">
        <v>256</v>
      </c>
      <c r="AO162" s="327" t="s">
        <v>259</v>
      </c>
      <c r="AP162" s="62" t="s">
        <v>251</v>
      </c>
      <c r="AQ162" s="62" t="s">
        <v>256</v>
      </c>
      <c r="AR162" s="62" t="s">
        <v>256</v>
      </c>
      <c r="AS162" s="62" t="s">
        <v>285</v>
      </c>
      <c r="AT162" s="62" t="s">
        <v>259</v>
      </c>
      <c r="AU162" s="327" t="s">
        <v>284</v>
      </c>
      <c r="AV162" s="327" t="s">
        <v>259</v>
      </c>
      <c r="AW162" s="62" t="s">
        <v>256</v>
      </c>
      <c r="AX162" s="62" t="s">
        <v>256</v>
      </c>
      <c r="AY162" s="62" t="s">
        <v>256</v>
      </c>
      <c r="AZ162" s="62" t="s">
        <v>256</v>
      </c>
      <c r="BA162" s="62" t="s">
        <v>256</v>
      </c>
      <c r="BB162" s="62" t="s">
        <v>259</v>
      </c>
      <c r="BC162" s="62" t="s">
        <v>286</v>
      </c>
      <c r="BD162" s="62" t="s">
        <v>248</v>
      </c>
      <c r="BE162" s="62" t="s">
        <v>259</v>
      </c>
      <c r="BF162" s="62" t="s">
        <v>248</v>
      </c>
      <c r="BG162" s="327" t="s">
        <v>256</v>
      </c>
      <c r="BH162" s="327" t="s">
        <v>256</v>
      </c>
      <c r="BI162" s="327" t="s">
        <v>256</v>
      </c>
      <c r="BJ162" s="62" t="s">
        <v>256</v>
      </c>
      <c r="BK162" s="327" t="s">
        <v>256</v>
      </c>
      <c r="BL162" s="327" t="s">
        <v>256</v>
      </c>
      <c r="BM162" s="327" t="s">
        <v>259</v>
      </c>
      <c r="BN162" s="62" t="s">
        <v>256</v>
      </c>
      <c r="BO162" s="62" t="s">
        <v>259</v>
      </c>
      <c r="BP162" s="62" t="s">
        <v>284</v>
      </c>
      <c r="BQ162" s="62" t="s">
        <v>256</v>
      </c>
      <c r="BR162" s="327">
        <v>1.74</v>
      </c>
      <c r="BS162" s="327" t="s">
        <v>256</v>
      </c>
      <c r="BT162" s="327" t="s">
        <v>284</v>
      </c>
      <c r="BU162" s="327">
        <v>1.18</v>
      </c>
      <c r="BV162" s="327" t="s">
        <v>248</v>
      </c>
      <c r="BW162" s="62" t="s">
        <v>285</v>
      </c>
      <c r="BX162" s="62" t="s">
        <v>287</v>
      </c>
      <c r="BY162" s="62" t="s">
        <v>259</v>
      </c>
      <c r="BZ162" s="62" t="s">
        <v>259</v>
      </c>
      <c r="CA162" s="62">
        <v>6.3</v>
      </c>
      <c r="CB162" s="62">
        <v>0.61</v>
      </c>
      <c r="CC162" s="62">
        <v>155</v>
      </c>
      <c r="CD162" s="62" t="s">
        <v>230</v>
      </c>
      <c r="CE162" s="62" t="s">
        <v>254</v>
      </c>
      <c r="CF162" s="62">
        <v>0.53</v>
      </c>
      <c r="CG162" s="62">
        <v>1.8</v>
      </c>
      <c r="CH162" s="62">
        <v>618</v>
      </c>
      <c r="CI162" s="62">
        <v>49</v>
      </c>
      <c r="CJ162" s="62" t="s">
        <v>254</v>
      </c>
      <c r="CK162" s="62">
        <v>56</v>
      </c>
      <c r="CL162" s="62">
        <v>180</v>
      </c>
      <c r="CM162" s="62" t="s">
        <v>288</v>
      </c>
      <c r="CN162" s="62" t="s">
        <v>288</v>
      </c>
      <c r="CO162" s="62">
        <v>2.9</v>
      </c>
      <c r="CP162" s="62" t="s">
        <v>258</v>
      </c>
      <c r="CQ162" s="62" t="s">
        <v>254</v>
      </c>
      <c r="CR162" s="62" t="s">
        <v>254</v>
      </c>
      <c r="CS162" s="62">
        <v>1.6</v>
      </c>
      <c r="CT162" s="62" t="s">
        <v>284</v>
      </c>
      <c r="CU162" s="62" t="s">
        <v>153</v>
      </c>
      <c r="CV162" s="62">
        <v>270</v>
      </c>
      <c r="CW162" s="62" t="s">
        <v>153</v>
      </c>
      <c r="CX162" s="62">
        <v>0.27</v>
      </c>
      <c r="CY162" s="62">
        <v>0.15</v>
      </c>
      <c r="CZ162" s="62">
        <v>7.57</v>
      </c>
      <c r="DA162" s="62">
        <v>0.86</v>
      </c>
      <c r="DB162" s="62">
        <v>3200</v>
      </c>
      <c r="DC162" s="62">
        <v>710</v>
      </c>
      <c r="DD162" s="62">
        <v>12.4</v>
      </c>
      <c r="DE162" s="62">
        <v>1900</v>
      </c>
      <c r="DF162" s="62" t="s">
        <v>289</v>
      </c>
      <c r="DG162" s="62">
        <v>0.9</v>
      </c>
      <c r="DH162" s="62">
        <v>0.63</v>
      </c>
      <c r="DI162" s="62">
        <v>150</v>
      </c>
      <c r="DJ162" s="62" t="s">
        <v>346</v>
      </c>
      <c r="DK162" s="62">
        <v>9</v>
      </c>
      <c r="DL162" s="62" t="s">
        <v>291</v>
      </c>
      <c r="DM162" s="62">
        <v>5.34</v>
      </c>
      <c r="DN162" s="328">
        <v>7.89</v>
      </c>
      <c r="DO162" s="328">
        <v>2479</v>
      </c>
      <c r="DP162" s="328">
        <v>21.82</v>
      </c>
      <c r="DQ162" s="328">
        <v>0.27</v>
      </c>
    </row>
    <row r="163" spans="1:121" hidden="1" x14ac:dyDescent="0.25">
      <c r="A163" s="62" t="s">
        <v>345</v>
      </c>
      <c r="B163" s="56" t="str">
        <f>VLOOKUP(Table3[[#This Row],[Station]], StationName, 2, FALSE)</f>
        <v>J01-9224-2 (J01P25)</v>
      </c>
      <c r="C163" s="362">
        <v>1934007</v>
      </c>
      <c r="D163" s="325">
        <v>44452.428472222222</v>
      </c>
      <c r="E163" s="326" t="s">
        <v>293</v>
      </c>
      <c r="F163" s="327" t="s">
        <v>294</v>
      </c>
      <c r="G163" s="327" t="s">
        <v>294</v>
      </c>
      <c r="H163" s="327" t="s">
        <v>294</v>
      </c>
      <c r="I163" s="327" t="s">
        <v>294</v>
      </c>
      <c r="J163" s="327" t="s">
        <v>294</v>
      </c>
      <c r="K163" s="327" t="s">
        <v>294</v>
      </c>
      <c r="L163" s="327" t="s">
        <v>294</v>
      </c>
      <c r="M163" s="327" t="s">
        <v>294</v>
      </c>
      <c r="N163" s="327" t="s">
        <v>294</v>
      </c>
      <c r="O163" s="327" t="s">
        <v>294</v>
      </c>
      <c r="P163" s="62" t="s">
        <v>294</v>
      </c>
      <c r="Q163" s="62" t="s">
        <v>294</v>
      </c>
      <c r="R163" s="62" t="s">
        <v>294</v>
      </c>
      <c r="S163" s="327" t="s">
        <v>294</v>
      </c>
      <c r="T163" s="327" t="s">
        <v>294</v>
      </c>
      <c r="U163" s="327" t="s">
        <v>294</v>
      </c>
      <c r="V163" s="327" t="s">
        <v>294</v>
      </c>
      <c r="W163" s="327" t="s">
        <v>294</v>
      </c>
      <c r="X163" s="327" t="s">
        <v>294</v>
      </c>
      <c r="Y163" s="327" t="s">
        <v>294</v>
      </c>
      <c r="Z163" s="327" t="s">
        <v>294</v>
      </c>
      <c r="AA163" s="327" t="s">
        <v>294</v>
      </c>
      <c r="AB163" s="327" t="s">
        <v>294</v>
      </c>
      <c r="AC163" s="327" t="s">
        <v>294</v>
      </c>
      <c r="AD163" s="327" t="s">
        <v>294</v>
      </c>
      <c r="AE163" s="327" t="s">
        <v>294</v>
      </c>
      <c r="AF163" s="62" t="s">
        <v>294</v>
      </c>
      <c r="AG163" s="62" t="s">
        <v>294</v>
      </c>
      <c r="AH163" s="62" t="s">
        <v>294</v>
      </c>
      <c r="AI163" s="327" t="s">
        <v>294</v>
      </c>
      <c r="AJ163" s="327" t="s">
        <v>294</v>
      </c>
      <c r="AK163" s="327" t="s">
        <v>294</v>
      </c>
      <c r="AL163" s="327" t="s">
        <v>294</v>
      </c>
      <c r="AM163" s="327" t="s">
        <v>294</v>
      </c>
      <c r="AN163" s="327" t="s">
        <v>294</v>
      </c>
      <c r="AO163" s="327" t="s">
        <v>294</v>
      </c>
      <c r="AP163" s="62" t="s">
        <v>294</v>
      </c>
      <c r="AQ163" s="62" t="s">
        <v>294</v>
      </c>
      <c r="AR163" s="62" t="s">
        <v>294</v>
      </c>
      <c r="AS163" s="62" t="s">
        <v>294</v>
      </c>
      <c r="AT163" s="62" t="s">
        <v>294</v>
      </c>
      <c r="AU163" s="327" t="s">
        <v>294</v>
      </c>
      <c r="AV163" s="327" t="s">
        <v>294</v>
      </c>
      <c r="AW163" s="62" t="s">
        <v>294</v>
      </c>
      <c r="AX163" s="62" t="s">
        <v>294</v>
      </c>
      <c r="AY163" s="62" t="s">
        <v>294</v>
      </c>
      <c r="AZ163" s="62" t="s">
        <v>294</v>
      </c>
      <c r="BA163" s="62" t="s">
        <v>294</v>
      </c>
      <c r="BB163" s="62" t="s">
        <v>294</v>
      </c>
      <c r="BC163" s="62" t="s">
        <v>294</v>
      </c>
      <c r="BD163" s="62" t="s">
        <v>294</v>
      </c>
      <c r="BE163" s="62" t="s">
        <v>294</v>
      </c>
      <c r="BF163" s="62" t="s">
        <v>294</v>
      </c>
      <c r="BG163" s="327" t="s">
        <v>294</v>
      </c>
      <c r="BH163" s="327" t="s">
        <v>294</v>
      </c>
      <c r="BI163" s="327" t="s">
        <v>294</v>
      </c>
      <c r="BJ163" s="62" t="s">
        <v>294</v>
      </c>
      <c r="BK163" s="327" t="s">
        <v>294</v>
      </c>
      <c r="BL163" s="327" t="s">
        <v>294</v>
      </c>
      <c r="BM163" s="327" t="s">
        <v>294</v>
      </c>
      <c r="BN163" s="62" t="s">
        <v>294</v>
      </c>
      <c r="BO163" s="62" t="s">
        <v>294</v>
      </c>
      <c r="BP163" s="62" t="s">
        <v>294</v>
      </c>
      <c r="BQ163" s="62" t="s">
        <v>294</v>
      </c>
      <c r="BR163" s="327" t="s">
        <v>294</v>
      </c>
      <c r="BS163" s="327" t="s">
        <v>294</v>
      </c>
      <c r="BT163" s="327" t="s">
        <v>294</v>
      </c>
      <c r="BU163" s="327" t="s">
        <v>294</v>
      </c>
      <c r="BV163" s="327" t="s">
        <v>294</v>
      </c>
      <c r="BW163" s="62" t="s">
        <v>294</v>
      </c>
      <c r="BX163" s="62" t="s">
        <v>294</v>
      </c>
      <c r="BY163" s="62" t="s">
        <v>294</v>
      </c>
      <c r="BZ163" s="62" t="s">
        <v>294</v>
      </c>
      <c r="CA163" s="62">
        <v>6.3</v>
      </c>
      <c r="CB163" s="62">
        <v>0.28000000000000003</v>
      </c>
      <c r="CC163" s="62" t="s">
        <v>294</v>
      </c>
      <c r="CD163" s="62" t="s">
        <v>230</v>
      </c>
      <c r="CE163" s="62" t="s">
        <v>254</v>
      </c>
      <c r="CF163" s="62">
        <v>0.66</v>
      </c>
      <c r="CG163" s="62" t="s">
        <v>294</v>
      </c>
      <c r="CH163" s="62" t="s">
        <v>294</v>
      </c>
      <c r="CI163" s="62">
        <v>30</v>
      </c>
      <c r="CJ163" s="62">
        <v>0.28000000000000003</v>
      </c>
      <c r="CK163" s="62" t="s">
        <v>294</v>
      </c>
      <c r="CL163" s="62">
        <v>170</v>
      </c>
      <c r="CM163" s="62" t="s">
        <v>294</v>
      </c>
      <c r="CN163" s="62" t="s">
        <v>288</v>
      </c>
      <c r="CO163" s="62">
        <v>2.7</v>
      </c>
      <c r="CP163" s="62" t="s">
        <v>258</v>
      </c>
      <c r="CQ163" s="62" t="s">
        <v>254</v>
      </c>
      <c r="CR163" s="62" t="s">
        <v>254</v>
      </c>
      <c r="CS163" s="62" t="s">
        <v>294</v>
      </c>
      <c r="CT163" s="62" t="s">
        <v>284</v>
      </c>
      <c r="CU163" s="62" t="s">
        <v>294</v>
      </c>
      <c r="CV163" s="62" t="s">
        <v>294</v>
      </c>
      <c r="CW163" s="62" t="s">
        <v>294</v>
      </c>
      <c r="CX163" s="62" t="s">
        <v>294</v>
      </c>
      <c r="CY163" s="62" t="s">
        <v>294</v>
      </c>
      <c r="CZ163" s="62" t="s">
        <v>294</v>
      </c>
      <c r="DA163" s="62" t="s">
        <v>294</v>
      </c>
      <c r="DB163" s="62" t="s">
        <v>294</v>
      </c>
      <c r="DC163" s="62" t="s">
        <v>294</v>
      </c>
      <c r="DD163" s="62" t="s">
        <v>294</v>
      </c>
      <c r="DE163" s="62" t="s">
        <v>294</v>
      </c>
      <c r="DF163" s="62" t="s">
        <v>294</v>
      </c>
      <c r="DG163" s="62" t="s">
        <v>294</v>
      </c>
      <c r="DH163" s="62" t="s">
        <v>294</v>
      </c>
      <c r="DI163" s="62" t="s">
        <v>294</v>
      </c>
      <c r="DJ163" s="62" t="s">
        <v>294</v>
      </c>
      <c r="DK163" s="62" t="s">
        <v>294</v>
      </c>
      <c r="DL163" s="62" t="s">
        <v>294</v>
      </c>
      <c r="DM163" s="62" t="s">
        <v>294</v>
      </c>
      <c r="DN163" s="328" t="s">
        <v>294</v>
      </c>
      <c r="DO163" s="328" t="s">
        <v>294</v>
      </c>
      <c r="DP163" s="328" t="s">
        <v>294</v>
      </c>
      <c r="DQ163" s="328" t="s">
        <v>294</v>
      </c>
    </row>
    <row r="164" spans="1:121" x14ac:dyDescent="0.25">
      <c r="A164" s="62" t="s">
        <v>340</v>
      </c>
      <c r="B164" s="56" t="str">
        <f>VLOOKUP(Table3[[#This Row],[Station]], StationName, 2, FALSE)</f>
        <v>J03-9221-1 (J03P02)</v>
      </c>
      <c r="C164" s="362">
        <v>1934004</v>
      </c>
      <c r="D164" s="325">
        <v>44452.456250000003</v>
      </c>
      <c r="E164" s="326" t="s">
        <v>283</v>
      </c>
      <c r="F164" s="327">
        <v>74</v>
      </c>
      <c r="G164" s="327">
        <v>85</v>
      </c>
      <c r="H164" s="327">
        <v>65</v>
      </c>
      <c r="I164" s="327">
        <v>88</v>
      </c>
      <c r="J164" s="327">
        <v>59</v>
      </c>
      <c r="K164" s="327">
        <v>63</v>
      </c>
      <c r="L164" s="327">
        <v>61</v>
      </c>
      <c r="M164" s="327">
        <v>80</v>
      </c>
      <c r="N164" s="327">
        <v>54</v>
      </c>
      <c r="O164" s="327" t="s">
        <v>259</v>
      </c>
      <c r="P164" s="62" t="s">
        <v>259</v>
      </c>
      <c r="Q164" s="62" t="s">
        <v>259</v>
      </c>
      <c r="R164" s="62" t="s">
        <v>259</v>
      </c>
      <c r="S164" s="327" t="s">
        <v>259</v>
      </c>
      <c r="T164" s="327" t="s">
        <v>259</v>
      </c>
      <c r="U164" s="327" t="s">
        <v>256</v>
      </c>
      <c r="V164" s="327" t="s">
        <v>256</v>
      </c>
      <c r="W164" s="327" t="s">
        <v>256</v>
      </c>
      <c r="X164" s="327" t="s">
        <v>256</v>
      </c>
      <c r="Y164" s="327" t="s">
        <v>284</v>
      </c>
      <c r="Z164" s="327" t="s">
        <v>256</v>
      </c>
      <c r="AA164" s="327" t="s">
        <v>256</v>
      </c>
      <c r="AB164" s="327" t="s">
        <v>256</v>
      </c>
      <c r="AC164" s="327" t="s">
        <v>256</v>
      </c>
      <c r="AD164" s="327" t="s">
        <v>256</v>
      </c>
      <c r="AE164" s="327" t="s">
        <v>256</v>
      </c>
      <c r="AF164" s="62" t="s">
        <v>256</v>
      </c>
      <c r="AG164" s="62" t="s">
        <v>256</v>
      </c>
      <c r="AH164" s="62" t="s">
        <v>256</v>
      </c>
      <c r="AI164" s="327" t="s">
        <v>256</v>
      </c>
      <c r="AJ164" s="327" t="s">
        <v>248</v>
      </c>
      <c r="AK164" s="327" t="s">
        <v>259</v>
      </c>
      <c r="AL164" s="327" t="s">
        <v>259</v>
      </c>
      <c r="AM164" s="327" t="s">
        <v>251</v>
      </c>
      <c r="AN164" s="327" t="s">
        <v>256</v>
      </c>
      <c r="AO164" s="327" t="s">
        <v>259</v>
      </c>
      <c r="AP164" s="62" t="s">
        <v>251</v>
      </c>
      <c r="AQ164" s="62" t="s">
        <v>256</v>
      </c>
      <c r="AR164" s="62" t="s">
        <v>256</v>
      </c>
      <c r="AS164" s="62" t="s">
        <v>285</v>
      </c>
      <c r="AT164" s="62" t="s">
        <v>259</v>
      </c>
      <c r="AU164" s="327" t="s">
        <v>284</v>
      </c>
      <c r="AV164" s="327" t="s">
        <v>259</v>
      </c>
      <c r="AW164" s="62" t="s">
        <v>256</v>
      </c>
      <c r="AX164" s="62" t="s">
        <v>256</v>
      </c>
      <c r="AY164" s="62" t="s">
        <v>256</v>
      </c>
      <c r="AZ164" s="62" t="s">
        <v>256</v>
      </c>
      <c r="BA164" s="62" t="s">
        <v>256</v>
      </c>
      <c r="BB164" s="62" t="s">
        <v>259</v>
      </c>
      <c r="BC164" s="62" t="s">
        <v>286</v>
      </c>
      <c r="BD164" s="62" t="s">
        <v>248</v>
      </c>
      <c r="BE164" s="62" t="s">
        <v>259</v>
      </c>
      <c r="BF164" s="62" t="s">
        <v>248</v>
      </c>
      <c r="BG164" s="327" t="s">
        <v>256</v>
      </c>
      <c r="BH164" s="327" t="s">
        <v>256</v>
      </c>
      <c r="BI164" s="327" t="s">
        <v>256</v>
      </c>
      <c r="BJ164" s="62" t="s">
        <v>256</v>
      </c>
      <c r="BK164" s="327" t="s">
        <v>256</v>
      </c>
      <c r="BL164" s="327" t="s">
        <v>256</v>
      </c>
      <c r="BM164" s="327" t="s">
        <v>259</v>
      </c>
      <c r="BN164" s="62" t="s">
        <v>256</v>
      </c>
      <c r="BO164" s="62" t="s">
        <v>259</v>
      </c>
      <c r="BP164" s="62" t="s">
        <v>284</v>
      </c>
      <c r="BQ164" s="62" t="s">
        <v>256</v>
      </c>
      <c r="BR164" s="327">
        <v>3.72</v>
      </c>
      <c r="BS164" s="327">
        <v>1.37</v>
      </c>
      <c r="BT164" s="327" t="s">
        <v>284</v>
      </c>
      <c r="BU164" s="327">
        <v>1.26</v>
      </c>
      <c r="BV164" s="327" t="s">
        <v>248</v>
      </c>
      <c r="BW164" s="62" t="s">
        <v>285</v>
      </c>
      <c r="BX164" s="62" t="s">
        <v>287</v>
      </c>
      <c r="BY164" s="62" t="s">
        <v>259</v>
      </c>
      <c r="BZ164" s="62" t="s">
        <v>259</v>
      </c>
      <c r="CA164" s="62">
        <v>1.3</v>
      </c>
      <c r="CB164" s="62">
        <v>11</v>
      </c>
      <c r="CC164" s="62">
        <v>305</v>
      </c>
      <c r="CD164" s="62" t="s">
        <v>230</v>
      </c>
      <c r="CE164" s="62">
        <v>0.26</v>
      </c>
      <c r="CF164" s="62">
        <v>3.2</v>
      </c>
      <c r="CG164" s="62">
        <v>6.6</v>
      </c>
      <c r="CH164" s="62">
        <v>1840</v>
      </c>
      <c r="CI164" s="62">
        <v>91</v>
      </c>
      <c r="CJ164" s="62" t="s">
        <v>254</v>
      </c>
      <c r="CK164" s="62">
        <v>262</v>
      </c>
      <c r="CL164" s="62">
        <v>740</v>
      </c>
      <c r="CM164" s="62" t="s">
        <v>288</v>
      </c>
      <c r="CN164" s="62" t="s">
        <v>288</v>
      </c>
      <c r="CO164" s="62">
        <v>48</v>
      </c>
      <c r="CP164" s="62">
        <v>3.3</v>
      </c>
      <c r="CQ164" s="62" t="s">
        <v>254</v>
      </c>
      <c r="CR164" s="62" t="s">
        <v>254</v>
      </c>
      <c r="CS164" s="62">
        <v>6.5</v>
      </c>
      <c r="CT164" s="62">
        <v>21</v>
      </c>
      <c r="CU164" s="62">
        <v>1.3</v>
      </c>
      <c r="CV164" s="62">
        <v>500</v>
      </c>
      <c r="CW164" s="62" t="s">
        <v>153</v>
      </c>
      <c r="CX164" s="62">
        <v>2.2999999999999998</v>
      </c>
      <c r="CY164" s="62">
        <v>0.2</v>
      </c>
      <c r="CZ164" s="62">
        <v>7.68</v>
      </c>
      <c r="DA164" s="62">
        <v>1</v>
      </c>
      <c r="DB164" s="62">
        <v>5500</v>
      </c>
      <c r="DC164" s="62">
        <v>1900</v>
      </c>
      <c r="DD164" s="62">
        <v>12.4</v>
      </c>
      <c r="DE164" s="62">
        <v>3500</v>
      </c>
      <c r="DF164" s="62" t="s">
        <v>289</v>
      </c>
      <c r="DG164" s="62">
        <v>2.4</v>
      </c>
      <c r="DH164" s="62">
        <v>0.94</v>
      </c>
      <c r="DI164" s="62">
        <v>2100</v>
      </c>
      <c r="DJ164" s="62" t="s">
        <v>427</v>
      </c>
      <c r="DK164" s="62">
        <v>200</v>
      </c>
      <c r="DL164" s="62" t="s">
        <v>428</v>
      </c>
      <c r="DM164" s="62">
        <v>7.36</v>
      </c>
      <c r="DN164" s="328">
        <v>8.2899999999999991</v>
      </c>
      <c r="DO164" s="328">
        <v>4282</v>
      </c>
      <c r="DP164" s="328">
        <v>22.4</v>
      </c>
      <c r="DQ164" s="328">
        <v>2.94</v>
      </c>
    </row>
    <row r="165" spans="1:121" hidden="1" x14ac:dyDescent="0.25">
      <c r="A165" s="62" t="s">
        <v>340</v>
      </c>
      <c r="B165" s="56" t="str">
        <f>VLOOKUP(Table3[[#This Row],[Station]], StationName, 2, FALSE)</f>
        <v>J03-9221-1 (J03P02)</v>
      </c>
      <c r="C165" s="362">
        <v>1934008</v>
      </c>
      <c r="D165" s="325">
        <v>44452.456250000003</v>
      </c>
      <c r="E165" s="326" t="s">
        <v>293</v>
      </c>
      <c r="F165" s="327" t="s">
        <v>294</v>
      </c>
      <c r="G165" s="327" t="s">
        <v>294</v>
      </c>
      <c r="H165" s="327" t="s">
        <v>294</v>
      </c>
      <c r="I165" s="327" t="s">
        <v>294</v>
      </c>
      <c r="J165" s="327" t="s">
        <v>294</v>
      </c>
      <c r="K165" s="327" t="s">
        <v>294</v>
      </c>
      <c r="L165" s="327" t="s">
        <v>294</v>
      </c>
      <c r="M165" s="327" t="s">
        <v>294</v>
      </c>
      <c r="N165" s="327" t="s">
        <v>294</v>
      </c>
      <c r="O165" s="327" t="s">
        <v>294</v>
      </c>
      <c r="P165" s="62" t="s">
        <v>294</v>
      </c>
      <c r="Q165" s="62" t="s">
        <v>294</v>
      </c>
      <c r="R165" s="62" t="s">
        <v>294</v>
      </c>
      <c r="S165" s="327" t="s">
        <v>294</v>
      </c>
      <c r="T165" s="327" t="s">
        <v>294</v>
      </c>
      <c r="U165" s="327" t="s">
        <v>294</v>
      </c>
      <c r="V165" s="327" t="s">
        <v>294</v>
      </c>
      <c r="W165" s="327" t="s">
        <v>294</v>
      </c>
      <c r="X165" s="327" t="s">
        <v>294</v>
      </c>
      <c r="Y165" s="327" t="s">
        <v>294</v>
      </c>
      <c r="Z165" s="327" t="s">
        <v>294</v>
      </c>
      <c r="AA165" s="327" t="s">
        <v>294</v>
      </c>
      <c r="AB165" s="327" t="s">
        <v>294</v>
      </c>
      <c r="AC165" s="327" t="s">
        <v>294</v>
      </c>
      <c r="AD165" s="327" t="s">
        <v>294</v>
      </c>
      <c r="AE165" s="327" t="s">
        <v>294</v>
      </c>
      <c r="AF165" s="62" t="s">
        <v>294</v>
      </c>
      <c r="AG165" s="62" t="s">
        <v>294</v>
      </c>
      <c r="AH165" s="62" t="s">
        <v>294</v>
      </c>
      <c r="AI165" s="327" t="s">
        <v>294</v>
      </c>
      <c r="AJ165" s="327" t="s">
        <v>294</v>
      </c>
      <c r="AK165" s="327" t="s">
        <v>294</v>
      </c>
      <c r="AL165" s="327" t="s">
        <v>294</v>
      </c>
      <c r="AM165" s="327" t="s">
        <v>294</v>
      </c>
      <c r="AN165" s="327" t="s">
        <v>294</v>
      </c>
      <c r="AO165" s="327" t="s">
        <v>294</v>
      </c>
      <c r="AP165" s="62" t="s">
        <v>294</v>
      </c>
      <c r="AQ165" s="62" t="s">
        <v>294</v>
      </c>
      <c r="AR165" s="62" t="s">
        <v>294</v>
      </c>
      <c r="AS165" s="62" t="s">
        <v>294</v>
      </c>
      <c r="AT165" s="62" t="s">
        <v>294</v>
      </c>
      <c r="AU165" s="327" t="s">
        <v>294</v>
      </c>
      <c r="AV165" s="327" t="s">
        <v>294</v>
      </c>
      <c r="AW165" s="62" t="s">
        <v>294</v>
      </c>
      <c r="AX165" s="62" t="s">
        <v>294</v>
      </c>
      <c r="AY165" s="62" t="s">
        <v>294</v>
      </c>
      <c r="AZ165" s="62" t="s">
        <v>294</v>
      </c>
      <c r="BA165" s="62" t="s">
        <v>294</v>
      </c>
      <c r="BB165" s="62" t="s">
        <v>294</v>
      </c>
      <c r="BC165" s="62" t="s">
        <v>294</v>
      </c>
      <c r="BD165" s="62" t="s">
        <v>294</v>
      </c>
      <c r="BE165" s="62" t="s">
        <v>294</v>
      </c>
      <c r="BF165" s="62" t="s">
        <v>294</v>
      </c>
      <c r="BG165" s="327" t="s">
        <v>294</v>
      </c>
      <c r="BH165" s="327" t="s">
        <v>294</v>
      </c>
      <c r="BI165" s="327" t="s">
        <v>294</v>
      </c>
      <c r="BJ165" s="62" t="s">
        <v>294</v>
      </c>
      <c r="BK165" s="327" t="s">
        <v>294</v>
      </c>
      <c r="BL165" s="327" t="s">
        <v>294</v>
      </c>
      <c r="BM165" s="327" t="s">
        <v>294</v>
      </c>
      <c r="BN165" s="62" t="s">
        <v>294</v>
      </c>
      <c r="BO165" s="62" t="s">
        <v>294</v>
      </c>
      <c r="BP165" s="62" t="s">
        <v>294</v>
      </c>
      <c r="BQ165" s="62" t="s">
        <v>294</v>
      </c>
      <c r="BR165" s="327" t="s">
        <v>294</v>
      </c>
      <c r="BS165" s="327" t="s">
        <v>294</v>
      </c>
      <c r="BT165" s="327" t="s">
        <v>294</v>
      </c>
      <c r="BU165" s="327" t="s">
        <v>294</v>
      </c>
      <c r="BV165" s="327" t="s">
        <v>294</v>
      </c>
      <c r="BW165" s="62" t="s">
        <v>294</v>
      </c>
      <c r="BX165" s="62" t="s">
        <v>294</v>
      </c>
      <c r="BY165" s="62" t="s">
        <v>294</v>
      </c>
      <c r="BZ165" s="62" t="s">
        <v>294</v>
      </c>
      <c r="CA165" s="62">
        <v>1.3</v>
      </c>
      <c r="CB165" s="62">
        <v>10</v>
      </c>
      <c r="CC165" s="62" t="s">
        <v>294</v>
      </c>
      <c r="CD165" s="62" t="s">
        <v>230</v>
      </c>
      <c r="CE165" s="62" t="s">
        <v>254</v>
      </c>
      <c r="CF165" s="62">
        <v>3.2</v>
      </c>
      <c r="CG165" s="62" t="s">
        <v>294</v>
      </c>
      <c r="CH165" s="62" t="s">
        <v>294</v>
      </c>
      <c r="CI165" s="62">
        <v>25</v>
      </c>
      <c r="CJ165" s="62" t="s">
        <v>254</v>
      </c>
      <c r="CK165" s="62" t="s">
        <v>294</v>
      </c>
      <c r="CL165" s="62">
        <v>700</v>
      </c>
      <c r="CM165" s="62" t="s">
        <v>294</v>
      </c>
      <c r="CN165" s="62" t="s">
        <v>288</v>
      </c>
      <c r="CO165" s="62">
        <v>47</v>
      </c>
      <c r="CP165" s="62">
        <v>3.2</v>
      </c>
      <c r="CQ165" s="62" t="s">
        <v>254</v>
      </c>
      <c r="CR165" s="62" t="s">
        <v>254</v>
      </c>
      <c r="CS165" s="62" t="s">
        <v>294</v>
      </c>
      <c r="CT165" s="62">
        <v>20</v>
      </c>
      <c r="CU165" s="62" t="s">
        <v>294</v>
      </c>
      <c r="CV165" s="62" t="s">
        <v>294</v>
      </c>
      <c r="CW165" s="62" t="s">
        <v>294</v>
      </c>
      <c r="CX165" s="62" t="s">
        <v>294</v>
      </c>
      <c r="CY165" s="62" t="s">
        <v>294</v>
      </c>
      <c r="CZ165" s="62" t="s">
        <v>294</v>
      </c>
      <c r="DA165" s="62" t="s">
        <v>294</v>
      </c>
      <c r="DB165" s="62" t="s">
        <v>294</v>
      </c>
      <c r="DC165" s="62" t="s">
        <v>294</v>
      </c>
      <c r="DD165" s="62" t="s">
        <v>294</v>
      </c>
      <c r="DE165" s="62" t="s">
        <v>294</v>
      </c>
      <c r="DF165" s="62" t="s">
        <v>294</v>
      </c>
      <c r="DG165" s="62" t="s">
        <v>294</v>
      </c>
      <c r="DH165" s="62" t="s">
        <v>294</v>
      </c>
      <c r="DI165" s="62" t="s">
        <v>294</v>
      </c>
      <c r="DJ165" s="62" t="s">
        <v>294</v>
      </c>
      <c r="DK165" s="62" t="s">
        <v>294</v>
      </c>
      <c r="DL165" s="62" t="s">
        <v>294</v>
      </c>
      <c r="DM165" s="62" t="s">
        <v>294</v>
      </c>
      <c r="DN165" s="328" t="s">
        <v>294</v>
      </c>
      <c r="DO165" s="328" t="s">
        <v>294</v>
      </c>
      <c r="DP165" s="328" t="s">
        <v>294</v>
      </c>
      <c r="DQ165" s="328" t="s">
        <v>294</v>
      </c>
    </row>
    <row r="166" spans="1:121" x14ac:dyDescent="0.25">
      <c r="A166" s="62" t="s">
        <v>356</v>
      </c>
      <c r="B166" s="56" t="str">
        <f>VLOOKUP(Table3[[#This Row],[Station]], StationName, 2, FALSE)</f>
        <v>M01-042-1 (M01S01)</v>
      </c>
      <c r="C166" s="362">
        <v>1935002</v>
      </c>
      <c r="D166" s="325">
        <v>44453.34652777778</v>
      </c>
      <c r="E166" s="326" t="s">
        <v>283</v>
      </c>
      <c r="F166" s="327">
        <v>75</v>
      </c>
      <c r="G166" s="327">
        <v>85</v>
      </c>
      <c r="H166" s="327">
        <v>75</v>
      </c>
      <c r="I166" s="327">
        <v>91</v>
      </c>
      <c r="J166" s="327">
        <v>62</v>
      </c>
      <c r="K166" s="327">
        <v>67</v>
      </c>
      <c r="L166" s="327">
        <v>64</v>
      </c>
      <c r="M166" s="327">
        <v>87</v>
      </c>
      <c r="N166" s="327">
        <v>58</v>
      </c>
      <c r="O166" s="327" t="s">
        <v>259</v>
      </c>
      <c r="P166" s="62" t="s">
        <v>259</v>
      </c>
      <c r="Q166" s="62" t="s">
        <v>259</v>
      </c>
      <c r="R166" s="62" t="s">
        <v>259</v>
      </c>
      <c r="S166" s="327" t="s">
        <v>259</v>
      </c>
      <c r="T166" s="327" t="s">
        <v>259</v>
      </c>
      <c r="U166" s="327">
        <v>1.22</v>
      </c>
      <c r="V166" s="327" t="s">
        <v>256</v>
      </c>
      <c r="W166" s="327" t="s">
        <v>256</v>
      </c>
      <c r="X166" s="327" t="s">
        <v>256</v>
      </c>
      <c r="Y166" s="327" t="s">
        <v>284</v>
      </c>
      <c r="Z166" s="327" t="s">
        <v>256</v>
      </c>
      <c r="AA166" s="327" t="s">
        <v>256</v>
      </c>
      <c r="AB166" s="327" t="s">
        <v>256</v>
      </c>
      <c r="AC166" s="327" t="s">
        <v>256</v>
      </c>
      <c r="AD166" s="327" t="s">
        <v>256</v>
      </c>
      <c r="AE166" s="327" t="s">
        <v>256</v>
      </c>
      <c r="AF166" s="62" t="s">
        <v>256</v>
      </c>
      <c r="AG166" s="62" t="s">
        <v>256</v>
      </c>
      <c r="AH166" s="62" t="s">
        <v>256</v>
      </c>
      <c r="AI166" s="327" t="s">
        <v>256</v>
      </c>
      <c r="AJ166" s="327" t="s">
        <v>248</v>
      </c>
      <c r="AK166" s="327" t="s">
        <v>259</v>
      </c>
      <c r="AL166" s="327" t="s">
        <v>259</v>
      </c>
      <c r="AM166" s="327" t="s">
        <v>251</v>
      </c>
      <c r="AN166" s="327" t="s">
        <v>256</v>
      </c>
      <c r="AO166" s="327" t="s">
        <v>259</v>
      </c>
      <c r="AP166" s="62" t="s">
        <v>251</v>
      </c>
      <c r="AQ166" s="62" t="s">
        <v>256</v>
      </c>
      <c r="AR166" s="62" t="s">
        <v>256</v>
      </c>
      <c r="AS166" s="62" t="s">
        <v>285</v>
      </c>
      <c r="AT166" s="62" t="s">
        <v>259</v>
      </c>
      <c r="AU166" s="327" t="s">
        <v>284</v>
      </c>
      <c r="AV166" s="327" t="s">
        <v>259</v>
      </c>
      <c r="AW166" s="62" t="s">
        <v>256</v>
      </c>
      <c r="AX166" s="62" t="s">
        <v>256</v>
      </c>
      <c r="AY166" s="62" t="s">
        <v>256</v>
      </c>
      <c r="AZ166" s="62" t="s">
        <v>256</v>
      </c>
      <c r="BA166" s="62" t="s">
        <v>256</v>
      </c>
      <c r="BB166" s="62" t="s">
        <v>259</v>
      </c>
      <c r="BC166" s="62" t="s">
        <v>286</v>
      </c>
      <c r="BD166" s="62" t="s">
        <v>248</v>
      </c>
      <c r="BE166" s="62" t="s">
        <v>259</v>
      </c>
      <c r="BF166" s="62" t="s">
        <v>248</v>
      </c>
      <c r="BG166" s="327" t="s">
        <v>256</v>
      </c>
      <c r="BH166" s="327" t="s">
        <v>256</v>
      </c>
      <c r="BI166" s="327" t="s">
        <v>256</v>
      </c>
      <c r="BJ166" s="62" t="s">
        <v>256</v>
      </c>
      <c r="BK166" s="327" t="s">
        <v>256</v>
      </c>
      <c r="BL166" s="327" t="s">
        <v>256</v>
      </c>
      <c r="BM166" s="327" t="s">
        <v>259</v>
      </c>
      <c r="BN166" s="62" t="s">
        <v>256</v>
      </c>
      <c r="BO166" s="62" t="s">
        <v>259</v>
      </c>
      <c r="BP166" s="62" t="s">
        <v>284</v>
      </c>
      <c r="BQ166" s="62" t="s">
        <v>256</v>
      </c>
      <c r="BR166" s="327">
        <v>2.11</v>
      </c>
      <c r="BS166" s="327" t="s">
        <v>256</v>
      </c>
      <c r="BT166" s="327" t="s">
        <v>284</v>
      </c>
      <c r="BU166" s="327">
        <v>1.26</v>
      </c>
      <c r="BV166" s="327" t="s">
        <v>248</v>
      </c>
      <c r="BW166" s="62" t="s">
        <v>285</v>
      </c>
      <c r="BX166" s="62" t="s">
        <v>287</v>
      </c>
      <c r="BY166" s="62" t="s">
        <v>259</v>
      </c>
      <c r="BZ166" s="62" t="s">
        <v>259</v>
      </c>
      <c r="CA166" s="62">
        <v>1.3</v>
      </c>
      <c r="CB166" s="62">
        <v>7.1</v>
      </c>
      <c r="CC166" s="62">
        <v>163</v>
      </c>
      <c r="CD166" s="62">
        <v>3.4000000000000002E-2</v>
      </c>
      <c r="CE166" s="62">
        <v>0.32</v>
      </c>
      <c r="CF166" s="62">
        <v>5.2</v>
      </c>
      <c r="CG166" s="62">
        <v>9.9</v>
      </c>
      <c r="CH166" s="62">
        <v>1250</v>
      </c>
      <c r="CI166" s="62">
        <v>93</v>
      </c>
      <c r="CJ166" s="62" t="s">
        <v>254</v>
      </c>
      <c r="CK166" s="62">
        <v>204</v>
      </c>
      <c r="CL166" s="62">
        <v>500</v>
      </c>
      <c r="CM166" s="62">
        <v>6.3E-2</v>
      </c>
      <c r="CN166" s="62" t="s">
        <v>288</v>
      </c>
      <c r="CO166" s="62">
        <v>62</v>
      </c>
      <c r="CP166" s="62">
        <v>1.7</v>
      </c>
      <c r="CQ166" s="62" t="s">
        <v>254</v>
      </c>
      <c r="CR166" s="62" t="s">
        <v>254</v>
      </c>
      <c r="CS166" s="62">
        <v>8.9</v>
      </c>
      <c r="CT166" s="62">
        <v>30</v>
      </c>
      <c r="CU166" s="62" t="s">
        <v>153</v>
      </c>
      <c r="CV166" s="62">
        <v>350</v>
      </c>
      <c r="CW166" s="62">
        <v>3.3</v>
      </c>
      <c r="CX166" s="62">
        <v>1</v>
      </c>
      <c r="CY166" s="62">
        <v>0.15</v>
      </c>
      <c r="CZ166" s="62">
        <v>7.86</v>
      </c>
      <c r="DA166" s="62">
        <v>0.91</v>
      </c>
      <c r="DB166" s="62">
        <v>4600</v>
      </c>
      <c r="DC166" s="62">
        <v>1700</v>
      </c>
      <c r="DD166" s="62">
        <v>23.3</v>
      </c>
      <c r="DE166" s="62">
        <v>2900</v>
      </c>
      <c r="DF166" s="62" t="s">
        <v>289</v>
      </c>
      <c r="DG166" s="62">
        <v>1.7</v>
      </c>
      <c r="DH166" s="62">
        <v>0.76</v>
      </c>
      <c r="DI166" s="62">
        <v>15700</v>
      </c>
      <c r="DJ166" s="62" t="s">
        <v>429</v>
      </c>
      <c r="DK166" s="62" t="s">
        <v>430</v>
      </c>
      <c r="DL166" s="62" t="s">
        <v>409</v>
      </c>
      <c r="DM166" s="62">
        <v>8.9</v>
      </c>
      <c r="DN166" s="328">
        <v>7.92</v>
      </c>
      <c r="DO166" s="328">
        <v>4153.8999999999996</v>
      </c>
      <c r="DP166" s="328">
        <v>20.440000000000001</v>
      </c>
      <c r="DQ166" s="328">
        <v>1.86</v>
      </c>
    </row>
    <row r="167" spans="1:121" hidden="1" x14ac:dyDescent="0.25">
      <c r="A167" s="62" t="s">
        <v>356</v>
      </c>
      <c r="B167" s="56" t="str">
        <f>VLOOKUP(Table3[[#This Row],[Station]], StationName, 2, FALSE)</f>
        <v>M01-042-1 (M01S01)</v>
      </c>
      <c r="C167" s="362">
        <v>1935008</v>
      </c>
      <c r="D167" s="325">
        <v>44453.34652777778</v>
      </c>
      <c r="E167" s="326" t="s">
        <v>293</v>
      </c>
      <c r="F167" s="327" t="s">
        <v>294</v>
      </c>
      <c r="G167" s="327" t="s">
        <v>294</v>
      </c>
      <c r="H167" s="327" t="s">
        <v>294</v>
      </c>
      <c r="I167" s="327" t="s">
        <v>294</v>
      </c>
      <c r="J167" s="327" t="s">
        <v>294</v>
      </c>
      <c r="K167" s="327" t="s">
        <v>294</v>
      </c>
      <c r="L167" s="327" t="s">
        <v>294</v>
      </c>
      <c r="M167" s="327" t="s">
        <v>294</v>
      </c>
      <c r="N167" s="327" t="s">
        <v>294</v>
      </c>
      <c r="O167" s="327" t="s">
        <v>294</v>
      </c>
      <c r="P167" s="62" t="s">
        <v>294</v>
      </c>
      <c r="Q167" s="62" t="s">
        <v>294</v>
      </c>
      <c r="R167" s="62" t="s">
        <v>294</v>
      </c>
      <c r="S167" s="327" t="s">
        <v>294</v>
      </c>
      <c r="T167" s="327" t="s">
        <v>294</v>
      </c>
      <c r="U167" s="327" t="s">
        <v>294</v>
      </c>
      <c r="V167" s="327" t="s">
        <v>294</v>
      </c>
      <c r="W167" s="327" t="s">
        <v>294</v>
      </c>
      <c r="X167" s="327" t="s">
        <v>294</v>
      </c>
      <c r="Y167" s="327" t="s">
        <v>294</v>
      </c>
      <c r="Z167" s="327" t="s">
        <v>294</v>
      </c>
      <c r="AA167" s="327" t="s">
        <v>294</v>
      </c>
      <c r="AB167" s="327" t="s">
        <v>294</v>
      </c>
      <c r="AC167" s="327" t="s">
        <v>294</v>
      </c>
      <c r="AD167" s="327" t="s">
        <v>294</v>
      </c>
      <c r="AE167" s="327" t="s">
        <v>294</v>
      </c>
      <c r="AF167" s="62" t="s">
        <v>294</v>
      </c>
      <c r="AG167" s="62" t="s">
        <v>294</v>
      </c>
      <c r="AH167" s="62" t="s">
        <v>294</v>
      </c>
      <c r="AI167" s="327" t="s">
        <v>294</v>
      </c>
      <c r="AJ167" s="327" t="s">
        <v>294</v>
      </c>
      <c r="AK167" s="327" t="s">
        <v>294</v>
      </c>
      <c r="AL167" s="327" t="s">
        <v>294</v>
      </c>
      <c r="AM167" s="327" t="s">
        <v>294</v>
      </c>
      <c r="AN167" s="327" t="s">
        <v>294</v>
      </c>
      <c r="AO167" s="327" t="s">
        <v>294</v>
      </c>
      <c r="AP167" s="62" t="s">
        <v>294</v>
      </c>
      <c r="AQ167" s="62" t="s">
        <v>294</v>
      </c>
      <c r="AR167" s="62" t="s">
        <v>294</v>
      </c>
      <c r="AS167" s="62" t="s">
        <v>294</v>
      </c>
      <c r="AT167" s="62" t="s">
        <v>294</v>
      </c>
      <c r="AU167" s="327" t="s">
        <v>294</v>
      </c>
      <c r="AV167" s="327" t="s">
        <v>294</v>
      </c>
      <c r="AW167" s="62" t="s">
        <v>294</v>
      </c>
      <c r="AX167" s="62" t="s">
        <v>294</v>
      </c>
      <c r="AY167" s="62" t="s">
        <v>294</v>
      </c>
      <c r="AZ167" s="62" t="s">
        <v>294</v>
      </c>
      <c r="BA167" s="62" t="s">
        <v>294</v>
      </c>
      <c r="BB167" s="62" t="s">
        <v>294</v>
      </c>
      <c r="BC167" s="62" t="s">
        <v>294</v>
      </c>
      <c r="BD167" s="62" t="s">
        <v>294</v>
      </c>
      <c r="BE167" s="62" t="s">
        <v>294</v>
      </c>
      <c r="BF167" s="62" t="s">
        <v>294</v>
      </c>
      <c r="BG167" s="327" t="s">
        <v>294</v>
      </c>
      <c r="BH167" s="327" t="s">
        <v>294</v>
      </c>
      <c r="BI167" s="327" t="s">
        <v>294</v>
      </c>
      <c r="BJ167" s="62" t="s">
        <v>294</v>
      </c>
      <c r="BK167" s="327" t="s">
        <v>294</v>
      </c>
      <c r="BL167" s="327" t="s">
        <v>294</v>
      </c>
      <c r="BM167" s="327" t="s">
        <v>294</v>
      </c>
      <c r="BN167" s="62" t="s">
        <v>294</v>
      </c>
      <c r="BO167" s="62" t="s">
        <v>294</v>
      </c>
      <c r="BP167" s="62" t="s">
        <v>294</v>
      </c>
      <c r="BQ167" s="62" t="s">
        <v>294</v>
      </c>
      <c r="BR167" s="327" t="s">
        <v>294</v>
      </c>
      <c r="BS167" s="327" t="s">
        <v>294</v>
      </c>
      <c r="BT167" s="327" t="s">
        <v>294</v>
      </c>
      <c r="BU167" s="327" t="s">
        <v>294</v>
      </c>
      <c r="BV167" s="327" t="s">
        <v>294</v>
      </c>
      <c r="BW167" s="62" t="s">
        <v>294</v>
      </c>
      <c r="BX167" s="62" t="s">
        <v>294</v>
      </c>
      <c r="BY167" s="62" t="s">
        <v>294</v>
      </c>
      <c r="BZ167" s="62" t="s">
        <v>294</v>
      </c>
      <c r="CA167" s="62">
        <v>1.3</v>
      </c>
      <c r="CB167" s="62">
        <v>3.9</v>
      </c>
      <c r="CC167" s="62" t="s">
        <v>294</v>
      </c>
      <c r="CD167" s="62" t="s">
        <v>230</v>
      </c>
      <c r="CE167" s="62">
        <v>0.27</v>
      </c>
      <c r="CF167" s="62">
        <v>4.5999999999999996</v>
      </c>
      <c r="CG167" s="62" t="s">
        <v>294</v>
      </c>
      <c r="CH167" s="62" t="s">
        <v>294</v>
      </c>
      <c r="CI167" s="62">
        <v>23</v>
      </c>
      <c r="CJ167" s="62" t="s">
        <v>254</v>
      </c>
      <c r="CK167" s="62" t="s">
        <v>294</v>
      </c>
      <c r="CL167" s="62">
        <v>500</v>
      </c>
      <c r="CM167" s="62" t="s">
        <v>294</v>
      </c>
      <c r="CN167" s="62" t="s">
        <v>288</v>
      </c>
      <c r="CO167" s="62">
        <v>64</v>
      </c>
      <c r="CP167" s="62">
        <v>1.8</v>
      </c>
      <c r="CQ167" s="62" t="s">
        <v>254</v>
      </c>
      <c r="CR167" s="62" t="s">
        <v>254</v>
      </c>
      <c r="CS167" s="62" t="s">
        <v>294</v>
      </c>
      <c r="CT167" s="62">
        <v>26</v>
      </c>
      <c r="CU167" s="62" t="s">
        <v>294</v>
      </c>
      <c r="CV167" s="62" t="s">
        <v>294</v>
      </c>
      <c r="CW167" s="62" t="s">
        <v>294</v>
      </c>
      <c r="CX167" s="62" t="s">
        <v>294</v>
      </c>
      <c r="CY167" s="62" t="s">
        <v>294</v>
      </c>
      <c r="CZ167" s="62" t="s">
        <v>294</v>
      </c>
      <c r="DA167" s="62" t="s">
        <v>294</v>
      </c>
      <c r="DB167" s="62" t="s">
        <v>294</v>
      </c>
      <c r="DC167" s="62" t="s">
        <v>294</v>
      </c>
      <c r="DD167" s="62" t="s">
        <v>294</v>
      </c>
      <c r="DE167" s="62" t="s">
        <v>294</v>
      </c>
      <c r="DF167" s="62" t="s">
        <v>294</v>
      </c>
      <c r="DG167" s="62" t="s">
        <v>294</v>
      </c>
      <c r="DH167" s="62" t="s">
        <v>294</v>
      </c>
      <c r="DI167" s="62" t="s">
        <v>294</v>
      </c>
      <c r="DJ167" s="62" t="s">
        <v>294</v>
      </c>
      <c r="DK167" s="62" t="s">
        <v>294</v>
      </c>
      <c r="DL167" s="62" t="s">
        <v>294</v>
      </c>
      <c r="DM167" s="62" t="s">
        <v>294</v>
      </c>
      <c r="DN167" s="328" t="s">
        <v>294</v>
      </c>
      <c r="DO167" s="328" t="s">
        <v>294</v>
      </c>
      <c r="DP167" s="328" t="s">
        <v>294</v>
      </c>
      <c r="DQ167" s="328" t="s">
        <v>294</v>
      </c>
    </row>
    <row r="168" spans="1:121" x14ac:dyDescent="0.25">
      <c r="A168" s="62" t="s">
        <v>162</v>
      </c>
      <c r="B168" s="56" t="str">
        <f>VLOOKUP(Table3[[#This Row],[Station]], StationName, 2, FALSE)</f>
        <v>M02-015-1</v>
      </c>
      <c r="C168" s="362">
        <v>1935001</v>
      </c>
      <c r="D168" s="325">
        <v>44453.365972222222</v>
      </c>
      <c r="E168" s="326" t="s">
        <v>283</v>
      </c>
      <c r="F168" s="327">
        <v>62</v>
      </c>
      <c r="G168" s="327">
        <v>75</v>
      </c>
      <c r="H168" s="327">
        <v>65</v>
      </c>
      <c r="I168" s="327">
        <v>83</v>
      </c>
      <c r="J168" s="327">
        <v>48</v>
      </c>
      <c r="K168" s="327">
        <v>45</v>
      </c>
      <c r="L168" s="327">
        <v>46</v>
      </c>
      <c r="M168" s="327">
        <v>65</v>
      </c>
      <c r="N168" s="327">
        <v>39</v>
      </c>
      <c r="O168" s="327" t="s">
        <v>259</v>
      </c>
      <c r="P168" s="62" t="s">
        <v>259</v>
      </c>
      <c r="Q168" s="62" t="s">
        <v>259</v>
      </c>
      <c r="R168" s="62" t="s">
        <v>259</v>
      </c>
      <c r="S168" s="327" t="s">
        <v>259</v>
      </c>
      <c r="T168" s="327" t="s">
        <v>259</v>
      </c>
      <c r="U168" s="327">
        <v>1.64</v>
      </c>
      <c r="V168" s="327" t="s">
        <v>256</v>
      </c>
      <c r="W168" s="327" t="s">
        <v>256</v>
      </c>
      <c r="X168" s="327" t="s">
        <v>256</v>
      </c>
      <c r="Y168" s="327" t="s">
        <v>284</v>
      </c>
      <c r="Z168" s="327" t="s">
        <v>256</v>
      </c>
      <c r="AA168" s="327" t="s">
        <v>256</v>
      </c>
      <c r="AB168" s="327" t="s">
        <v>256</v>
      </c>
      <c r="AC168" s="327" t="s">
        <v>256</v>
      </c>
      <c r="AD168" s="327" t="s">
        <v>256</v>
      </c>
      <c r="AE168" s="327" t="s">
        <v>256</v>
      </c>
      <c r="AF168" s="62" t="s">
        <v>256</v>
      </c>
      <c r="AG168" s="62" t="s">
        <v>256</v>
      </c>
      <c r="AH168" s="62" t="s">
        <v>256</v>
      </c>
      <c r="AI168" s="327" t="s">
        <v>256</v>
      </c>
      <c r="AJ168" s="327" t="s">
        <v>248</v>
      </c>
      <c r="AK168" s="327" t="s">
        <v>259</v>
      </c>
      <c r="AL168" s="327" t="s">
        <v>259</v>
      </c>
      <c r="AM168" s="327" t="s">
        <v>251</v>
      </c>
      <c r="AN168" s="327" t="s">
        <v>256</v>
      </c>
      <c r="AO168" s="327" t="s">
        <v>259</v>
      </c>
      <c r="AP168" s="62" t="s">
        <v>251</v>
      </c>
      <c r="AQ168" s="62" t="s">
        <v>256</v>
      </c>
      <c r="AR168" s="62" t="s">
        <v>256</v>
      </c>
      <c r="AS168" s="62" t="s">
        <v>285</v>
      </c>
      <c r="AT168" s="62" t="s">
        <v>259</v>
      </c>
      <c r="AU168" s="327" t="s">
        <v>284</v>
      </c>
      <c r="AV168" s="327" t="s">
        <v>259</v>
      </c>
      <c r="AW168" s="62" t="s">
        <v>256</v>
      </c>
      <c r="AX168" s="62" t="s">
        <v>256</v>
      </c>
      <c r="AY168" s="62" t="s">
        <v>256</v>
      </c>
      <c r="AZ168" s="62" t="s">
        <v>256</v>
      </c>
      <c r="BA168" s="62" t="s">
        <v>256</v>
      </c>
      <c r="BB168" s="62" t="s">
        <v>259</v>
      </c>
      <c r="BC168" s="62" t="s">
        <v>286</v>
      </c>
      <c r="BD168" s="62" t="s">
        <v>248</v>
      </c>
      <c r="BE168" s="62" t="s">
        <v>259</v>
      </c>
      <c r="BF168" s="62" t="s">
        <v>248</v>
      </c>
      <c r="BG168" s="327">
        <v>1.1299999999999999</v>
      </c>
      <c r="BH168" s="327" t="s">
        <v>256</v>
      </c>
      <c r="BI168" s="327" t="s">
        <v>256</v>
      </c>
      <c r="BJ168" s="62" t="s">
        <v>256</v>
      </c>
      <c r="BK168" s="327" t="s">
        <v>256</v>
      </c>
      <c r="BL168" s="327" t="s">
        <v>256</v>
      </c>
      <c r="BM168" s="327" t="s">
        <v>259</v>
      </c>
      <c r="BN168" s="62" t="s">
        <v>256</v>
      </c>
      <c r="BO168" s="62" t="s">
        <v>259</v>
      </c>
      <c r="BP168" s="62" t="s">
        <v>284</v>
      </c>
      <c r="BQ168" s="62" t="s">
        <v>256</v>
      </c>
      <c r="BR168" s="327">
        <v>1.95</v>
      </c>
      <c r="BS168" s="327">
        <v>1.1599999999999999</v>
      </c>
      <c r="BT168" s="327" t="s">
        <v>284</v>
      </c>
      <c r="BU168" s="327">
        <v>1.63</v>
      </c>
      <c r="BV168" s="327" t="s">
        <v>248</v>
      </c>
      <c r="BW168" s="62" t="s">
        <v>285</v>
      </c>
      <c r="BX168" s="62" t="s">
        <v>287</v>
      </c>
      <c r="BY168" s="62" t="s">
        <v>259</v>
      </c>
      <c r="BZ168" s="62" t="s">
        <v>259</v>
      </c>
      <c r="CA168" s="62">
        <v>2.1</v>
      </c>
      <c r="CB168" s="62" t="s">
        <v>254</v>
      </c>
      <c r="CC168" s="62">
        <v>77.8</v>
      </c>
      <c r="CD168" s="62">
        <v>9.5000000000000001E-2</v>
      </c>
      <c r="CE168" s="62">
        <v>0.38</v>
      </c>
      <c r="CF168" s="62">
        <v>5.3</v>
      </c>
      <c r="CG168" s="62">
        <v>7.3</v>
      </c>
      <c r="CH168" s="62">
        <v>312</v>
      </c>
      <c r="CI168" s="62">
        <v>88</v>
      </c>
      <c r="CJ168" s="62" t="s">
        <v>254</v>
      </c>
      <c r="CK168" s="62">
        <v>28.6</v>
      </c>
      <c r="CL168" s="62">
        <v>3.2</v>
      </c>
      <c r="CM168" s="62" t="s">
        <v>288</v>
      </c>
      <c r="CN168" s="62" t="s">
        <v>288</v>
      </c>
      <c r="CO168" s="62" t="s">
        <v>259</v>
      </c>
      <c r="CP168" s="62">
        <v>1.3</v>
      </c>
      <c r="CQ168" s="62" t="s">
        <v>254</v>
      </c>
      <c r="CR168" s="62" t="s">
        <v>254</v>
      </c>
      <c r="CS168" s="62">
        <v>7.4</v>
      </c>
      <c r="CT168" s="62" t="s">
        <v>284</v>
      </c>
      <c r="CU168" s="62" t="s">
        <v>153</v>
      </c>
      <c r="CV168" s="62">
        <v>150</v>
      </c>
      <c r="CW168" s="62">
        <v>1.2</v>
      </c>
      <c r="CX168" s="62">
        <v>0.77</v>
      </c>
      <c r="CY168" s="62">
        <v>0.32</v>
      </c>
      <c r="CZ168" s="62">
        <v>7.84</v>
      </c>
      <c r="DA168" s="62">
        <v>1.4</v>
      </c>
      <c r="DB168" s="62">
        <v>1500</v>
      </c>
      <c r="DC168" s="62">
        <v>290</v>
      </c>
      <c r="DD168" s="62">
        <v>23</v>
      </c>
      <c r="DE168" s="62">
        <v>700</v>
      </c>
      <c r="DF168" s="62" t="s">
        <v>289</v>
      </c>
      <c r="DG168" s="62">
        <v>2.2999999999999998</v>
      </c>
      <c r="DH168" s="62">
        <v>1</v>
      </c>
      <c r="DI168" s="62">
        <v>3100</v>
      </c>
      <c r="DJ168" s="62" t="s">
        <v>431</v>
      </c>
      <c r="DK168" s="62" t="s">
        <v>336</v>
      </c>
      <c r="DL168" s="62" t="s">
        <v>432</v>
      </c>
      <c r="DM168" s="62">
        <v>8.5</v>
      </c>
      <c r="DN168" s="328">
        <v>8.6999999999999993</v>
      </c>
      <c r="DO168" s="328">
        <v>1163</v>
      </c>
      <c r="DP168" s="328">
        <v>19.760000000000002</v>
      </c>
      <c r="DQ168" s="328">
        <v>2.06</v>
      </c>
    </row>
    <row r="169" spans="1:121" hidden="1" x14ac:dyDescent="0.25">
      <c r="A169" s="62" t="s">
        <v>162</v>
      </c>
      <c r="B169" s="56" t="str">
        <f>VLOOKUP(Table3[[#This Row],[Station]], StationName, 2, FALSE)</f>
        <v>M02-015-1</v>
      </c>
      <c r="C169" s="362">
        <v>1935007</v>
      </c>
      <c r="D169" s="325">
        <v>44453.365972222222</v>
      </c>
      <c r="E169" s="326" t="s">
        <v>293</v>
      </c>
      <c r="F169" s="327" t="s">
        <v>294</v>
      </c>
      <c r="G169" s="327" t="s">
        <v>294</v>
      </c>
      <c r="H169" s="327" t="s">
        <v>294</v>
      </c>
      <c r="I169" s="327" t="s">
        <v>294</v>
      </c>
      <c r="J169" s="327" t="s">
        <v>294</v>
      </c>
      <c r="K169" s="327" t="s">
        <v>294</v>
      </c>
      <c r="L169" s="327" t="s">
        <v>294</v>
      </c>
      <c r="M169" s="327" t="s">
        <v>294</v>
      </c>
      <c r="N169" s="327" t="s">
        <v>294</v>
      </c>
      <c r="O169" s="327" t="s">
        <v>294</v>
      </c>
      <c r="P169" s="62" t="s">
        <v>294</v>
      </c>
      <c r="Q169" s="62" t="s">
        <v>294</v>
      </c>
      <c r="R169" s="62" t="s">
        <v>294</v>
      </c>
      <c r="S169" s="327" t="s">
        <v>294</v>
      </c>
      <c r="T169" s="327" t="s">
        <v>294</v>
      </c>
      <c r="U169" s="327" t="s">
        <v>294</v>
      </c>
      <c r="V169" s="327" t="s">
        <v>294</v>
      </c>
      <c r="W169" s="327" t="s">
        <v>294</v>
      </c>
      <c r="X169" s="327" t="s">
        <v>294</v>
      </c>
      <c r="Y169" s="327" t="s">
        <v>294</v>
      </c>
      <c r="Z169" s="327" t="s">
        <v>294</v>
      </c>
      <c r="AA169" s="327" t="s">
        <v>294</v>
      </c>
      <c r="AB169" s="327" t="s">
        <v>294</v>
      </c>
      <c r="AC169" s="327" t="s">
        <v>294</v>
      </c>
      <c r="AD169" s="327" t="s">
        <v>294</v>
      </c>
      <c r="AE169" s="327" t="s">
        <v>294</v>
      </c>
      <c r="AF169" s="62" t="s">
        <v>294</v>
      </c>
      <c r="AG169" s="62" t="s">
        <v>294</v>
      </c>
      <c r="AH169" s="62" t="s">
        <v>294</v>
      </c>
      <c r="AI169" s="327" t="s">
        <v>294</v>
      </c>
      <c r="AJ169" s="327" t="s">
        <v>294</v>
      </c>
      <c r="AK169" s="327" t="s">
        <v>294</v>
      </c>
      <c r="AL169" s="327" t="s">
        <v>294</v>
      </c>
      <c r="AM169" s="327" t="s">
        <v>294</v>
      </c>
      <c r="AN169" s="327" t="s">
        <v>294</v>
      </c>
      <c r="AO169" s="327" t="s">
        <v>294</v>
      </c>
      <c r="AP169" s="62" t="s">
        <v>294</v>
      </c>
      <c r="AQ169" s="62" t="s">
        <v>294</v>
      </c>
      <c r="AR169" s="62" t="s">
        <v>294</v>
      </c>
      <c r="AS169" s="62" t="s">
        <v>294</v>
      </c>
      <c r="AT169" s="62" t="s">
        <v>294</v>
      </c>
      <c r="AU169" s="327" t="s">
        <v>294</v>
      </c>
      <c r="AV169" s="327" t="s">
        <v>294</v>
      </c>
      <c r="AW169" s="62" t="s">
        <v>294</v>
      </c>
      <c r="AX169" s="62" t="s">
        <v>294</v>
      </c>
      <c r="AY169" s="62" t="s">
        <v>294</v>
      </c>
      <c r="AZ169" s="62" t="s">
        <v>294</v>
      </c>
      <c r="BA169" s="62" t="s">
        <v>294</v>
      </c>
      <c r="BB169" s="62" t="s">
        <v>294</v>
      </c>
      <c r="BC169" s="62" t="s">
        <v>294</v>
      </c>
      <c r="BD169" s="62" t="s">
        <v>294</v>
      </c>
      <c r="BE169" s="62" t="s">
        <v>294</v>
      </c>
      <c r="BF169" s="62" t="s">
        <v>294</v>
      </c>
      <c r="BG169" s="327" t="s">
        <v>294</v>
      </c>
      <c r="BH169" s="327" t="s">
        <v>294</v>
      </c>
      <c r="BI169" s="327" t="s">
        <v>294</v>
      </c>
      <c r="BJ169" s="62" t="s">
        <v>294</v>
      </c>
      <c r="BK169" s="327" t="s">
        <v>294</v>
      </c>
      <c r="BL169" s="327" t="s">
        <v>294</v>
      </c>
      <c r="BM169" s="327" t="s">
        <v>294</v>
      </c>
      <c r="BN169" s="62" t="s">
        <v>294</v>
      </c>
      <c r="BO169" s="62" t="s">
        <v>294</v>
      </c>
      <c r="BP169" s="62" t="s">
        <v>294</v>
      </c>
      <c r="BQ169" s="62" t="s">
        <v>294</v>
      </c>
      <c r="BR169" s="327" t="s">
        <v>294</v>
      </c>
      <c r="BS169" s="327" t="s">
        <v>294</v>
      </c>
      <c r="BT169" s="327" t="s">
        <v>294</v>
      </c>
      <c r="BU169" s="327" t="s">
        <v>294</v>
      </c>
      <c r="BV169" s="327" t="s">
        <v>294</v>
      </c>
      <c r="BW169" s="62" t="s">
        <v>294</v>
      </c>
      <c r="BX169" s="62" t="s">
        <v>294</v>
      </c>
      <c r="BY169" s="62" t="s">
        <v>294</v>
      </c>
      <c r="BZ169" s="62" t="s">
        <v>294</v>
      </c>
      <c r="CA169" s="62">
        <v>2.1</v>
      </c>
      <c r="CB169" s="62" t="s">
        <v>254</v>
      </c>
      <c r="CC169" s="62" t="s">
        <v>294</v>
      </c>
      <c r="CD169" s="62">
        <v>9.4E-2</v>
      </c>
      <c r="CE169" s="62">
        <v>0.2</v>
      </c>
      <c r="CF169" s="62">
        <v>4.5</v>
      </c>
      <c r="CG169" s="62" t="s">
        <v>294</v>
      </c>
      <c r="CH169" s="62" t="s">
        <v>294</v>
      </c>
      <c r="CI169" s="62" t="s">
        <v>286</v>
      </c>
      <c r="CJ169" s="62">
        <v>0.2</v>
      </c>
      <c r="CK169" s="62" t="s">
        <v>294</v>
      </c>
      <c r="CL169" s="62">
        <v>1.1000000000000001</v>
      </c>
      <c r="CM169" s="62" t="s">
        <v>294</v>
      </c>
      <c r="CN169" s="62" t="s">
        <v>288</v>
      </c>
      <c r="CO169" s="62" t="s">
        <v>259</v>
      </c>
      <c r="CP169" s="62">
        <v>1.3</v>
      </c>
      <c r="CQ169" s="62" t="s">
        <v>254</v>
      </c>
      <c r="CR169" s="62" t="s">
        <v>254</v>
      </c>
      <c r="CS169" s="62" t="s">
        <v>294</v>
      </c>
      <c r="CT169" s="62" t="s">
        <v>284</v>
      </c>
      <c r="CU169" s="62" t="s">
        <v>294</v>
      </c>
      <c r="CV169" s="62" t="s">
        <v>294</v>
      </c>
      <c r="CW169" s="62" t="s">
        <v>294</v>
      </c>
      <c r="CX169" s="62" t="s">
        <v>294</v>
      </c>
      <c r="CY169" s="62" t="s">
        <v>294</v>
      </c>
      <c r="CZ169" s="62" t="s">
        <v>294</v>
      </c>
      <c r="DA169" s="62" t="s">
        <v>294</v>
      </c>
      <c r="DB169" s="62" t="s">
        <v>294</v>
      </c>
      <c r="DC169" s="62" t="s">
        <v>294</v>
      </c>
      <c r="DD169" s="62" t="s">
        <v>294</v>
      </c>
      <c r="DE169" s="62" t="s">
        <v>294</v>
      </c>
      <c r="DF169" s="62" t="s">
        <v>294</v>
      </c>
      <c r="DG169" s="62" t="s">
        <v>294</v>
      </c>
      <c r="DH169" s="62" t="s">
        <v>294</v>
      </c>
      <c r="DI169" s="62" t="s">
        <v>294</v>
      </c>
      <c r="DJ169" s="62" t="s">
        <v>294</v>
      </c>
      <c r="DK169" s="62" t="s">
        <v>294</v>
      </c>
      <c r="DL169" s="62" t="s">
        <v>294</v>
      </c>
      <c r="DM169" s="62" t="s">
        <v>294</v>
      </c>
      <c r="DN169" s="328" t="s">
        <v>294</v>
      </c>
      <c r="DO169" s="328" t="s">
        <v>294</v>
      </c>
      <c r="DP169" s="328" t="s">
        <v>294</v>
      </c>
      <c r="DQ169" s="328" t="s">
        <v>294</v>
      </c>
    </row>
    <row r="170" spans="1:121" x14ac:dyDescent="0.25">
      <c r="A170" s="62" t="s">
        <v>365</v>
      </c>
      <c r="B170" s="56" t="str">
        <f>VLOOKUP(Table3[[#This Row],[Station]], StationName, 2, FALSE)</f>
        <v>M02-085-1 (M02P06)</v>
      </c>
      <c r="C170" s="362">
        <v>1935005</v>
      </c>
      <c r="D170" s="325">
        <v>44453.393055555556</v>
      </c>
      <c r="E170" s="326" t="s">
        <v>283</v>
      </c>
      <c r="F170" s="327">
        <v>67</v>
      </c>
      <c r="G170" s="327">
        <v>80</v>
      </c>
      <c r="H170" s="327">
        <v>66</v>
      </c>
      <c r="I170" s="327">
        <v>89</v>
      </c>
      <c r="J170" s="327">
        <v>52</v>
      </c>
      <c r="K170" s="327">
        <v>54</v>
      </c>
      <c r="L170" s="327">
        <v>52</v>
      </c>
      <c r="M170" s="327">
        <v>68</v>
      </c>
      <c r="N170" s="327">
        <v>43</v>
      </c>
      <c r="O170" s="327" t="s">
        <v>259</v>
      </c>
      <c r="P170" s="62" t="s">
        <v>259</v>
      </c>
      <c r="Q170" s="62" t="s">
        <v>259</v>
      </c>
      <c r="R170" s="62" t="s">
        <v>259</v>
      </c>
      <c r="S170" s="327" t="s">
        <v>259</v>
      </c>
      <c r="T170" s="327" t="s">
        <v>259</v>
      </c>
      <c r="U170" s="327">
        <v>1.9</v>
      </c>
      <c r="V170" s="327" t="s">
        <v>256</v>
      </c>
      <c r="W170" s="327" t="s">
        <v>256</v>
      </c>
      <c r="X170" s="327" t="s">
        <v>256</v>
      </c>
      <c r="Y170" s="327" t="s">
        <v>284</v>
      </c>
      <c r="Z170" s="327" t="s">
        <v>256</v>
      </c>
      <c r="AA170" s="327" t="s">
        <v>256</v>
      </c>
      <c r="AB170" s="327" t="s">
        <v>256</v>
      </c>
      <c r="AC170" s="327" t="s">
        <v>256</v>
      </c>
      <c r="AD170" s="327" t="s">
        <v>256</v>
      </c>
      <c r="AE170" s="327" t="s">
        <v>256</v>
      </c>
      <c r="AF170" s="62" t="s">
        <v>256</v>
      </c>
      <c r="AG170" s="62" t="s">
        <v>256</v>
      </c>
      <c r="AH170" s="62" t="s">
        <v>256</v>
      </c>
      <c r="AI170" s="327" t="s">
        <v>256</v>
      </c>
      <c r="AJ170" s="327" t="s">
        <v>248</v>
      </c>
      <c r="AK170" s="327" t="s">
        <v>259</v>
      </c>
      <c r="AL170" s="327" t="s">
        <v>259</v>
      </c>
      <c r="AM170" s="327" t="s">
        <v>251</v>
      </c>
      <c r="AN170" s="327" t="s">
        <v>256</v>
      </c>
      <c r="AO170" s="327" t="s">
        <v>259</v>
      </c>
      <c r="AP170" s="62" t="s">
        <v>251</v>
      </c>
      <c r="AQ170" s="62" t="s">
        <v>256</v>
      </c>
      <c r="AR170" s="62" t="s">
        <v>256</v>
      </c>
      <c r="AS170" s="62" t="s">
        <v>285</v>
      </c>
      <c r="AT170" s="62" t="s">
        <v>259</v>
      </c>
      <c r="AU170" s="327" t="s">
        <v>284</v>
      </c>
      <c r="AV170" s="327" t="s">
        <v>259</v>
      </c>
      <c r="AW170" s="62" t="s">
        <v>256</v>
      </c>
      <c r="AX170" s="62" t="s">
        <v>256</v>
      </c>
      <c r="AY170" s="62" t="s">
        <v>256</v>
      </c>
      <c r="AZ170" s="62" t="s">
        <v>256</v>
      </c>
      <c r="BA170" s="62" t="s">
        <v>256</v>
      </c>
      <c r="BB170" s="62" t="s">
        <v>259</v>
      </c>
      <c r="BC170" s="62" t="s">
        <v>286</v>
      </c>
      <c r="BD170" s="62" t="s">
        <v>248</v>
      </c>
      <c r="BE170" s="62" t="s">
        <v>259</v>
      </c>
      <c r="BF170" s="62" t="s">
        <v>248</v>
      </c>
      <c r="BG170" s="327" t="s">
        <v>256</v>
      </c>
      <c r="BH170" s="327" t="s">
        <v>256</v>
      </c>
      <c r="BI170" s="327" t="s">
        <v>256</v>
      </c>
      <c r="BJ170" s="62" t="s">
        <v>256</v>
      </c>
      <c r="BK170" s="327" t="s">
        <v>256</v>
      </c>
      <c r="BL170" s="327" t="s">
        <v>256</v>
      </c>
      <c r="BM170" s="327" t="s">
        <v>259</v>
      </c>
      <c r="BN170" s="62" t="s">
        <v>256</v>
      </c>
      <c r="BO170" s="62" t="s">
        <v>259</v>
      </c>
      <c r="BP170" s="62" t="s">
        <v>284</v>
      </c>
      <c r="BQ170" s="62" t="s">
        <v>256</v>
      </c>
      <c r="BR170" s="327">
        <v>2.79</v>
      </c>
      <c r="BS170" s="327" t="s">
        <v>256</v>
      </c>
      <c r="BT170" s="327" t="s">
        <v>284</v>
      </c>
      <c r="BU170" s="327" t="s">
        <v>256</v>
      </c>
      <c r="BV170" s="327" t="s">
        <v>248</v>
      </c>
      <c r="BW170" s="62" t="s">
        <v>285</v>
      </c>
      <c r="BX170" s="62" t="s">
        <v>287</v>
      </c>
      <c r="BY170" s="62" t="s">
        <v>259</v>
      </c>
      <c r="BZ170" s="62" t="s">
        <v>259</v>
      </c>
      <c r="CA170" s="62">
        <v>4.5999999999999996</v>
      </c>
      <c r="CB170" s="62">
        <v>110</v>
      </c>
      <c r="CC170" s="62">
        <v>452</v>
      </c>
      <c r="CD170" s="62" t="s">
        <v>230</v>
      </c>
      <c r="CE170" s="62">
        <v>0.84</v>
      </c>
      <c r="CF170" s="62">
        <v>4.9000000000000004</v>
      </c>
      <c r="CG170" s="62">
        <v>18</v>
      </c>
      <c r="CH170" s="62">
        <v>2260</v>
      </c>
      <c r="CI170" s="62">
        <v>810</v>
      </c>
      <c r="CJ170" s="62" t="s">
        <v>254</v>
      </c>
      <c r="CK170" s="62">
        <v>275</v>
      </c>
      <c r="CL170" s="62">
        <v>3600</v>
      </c>
      <c r="CM170" s="62" t="s">
        <v>288</v>
      </c>
      <c r="CN170" s="62" t="s">
        <v>288</v>
      </c>
      <c r="CO170" s="62">
        <v>690</v>
      </c>
      <c r="CP170" s="62">
        <v>23</v>
      </c>
      <c r="CQ170" s="62" t="s">
        <v>254</v>
      </c>
      <c r="CR170" s="62">
        <v>0.36</v>
      </c>
      <c r="CS170" s="62">
        <v>18</v>
      </c>
      <c r="CT170" s="62">
        <v>310</v>
      </c>
      <c r="CU170" s="62">
        <v>2.4</v>
      </c>
      <c r="CV170" s="62">
        <v>690</v>
      </c>
      <c r="CW170" s="62">
        <v>3.3</v>
      </c>
      <c r="CX170" s="62">
        <v>4</v>
      </c>
      <c r="CY170" s="62">
        <v>7.5999999999999998E-2</v>
      </c>
      <c r="CZ170" s="62">
        <v>6.99</v>
      </c>
      <c r="DA170" s="62">
        <v>1.6</v>
      </c>
      <c r="DB170" s="62">
        <v>7100</v>
      </c>
      <c r="DC170" s="62">
        <v>2700</v>
      </c>
      <c r="DD170" s="62">
        <v>23.2</v>
      </c>
      <c r="DE170" s="62">
        <v>4800</v>
      </c>
      <c r="DF170" s="62">
        <v>5.8</v>
      </c>
      <c r="DG170" s="62">
        <v>24</v>
      </c>
      <c r="DH170" s="62">
        <v>8.6</v>
      </c>
      <c r="DI170" s="62">
        <v>90</v>
      </c>
      <c r="DJ170" s="62">
        <v>890</v>
      </c>
      <c r="DK170" s="62">
        <v>2000</v>
      </c>
      <c r="DL170" s="62" t="s">
        <v>411</v>
      </c>
      <c r="DM170" s="62">
        <v>8.52</v>
      </c>
      <c r="DN170" s="328">
        <v>6.82</v>
      </c>
      <c r="DO170" s="328">
        <v>5961.5</v>
      </c>
      <c r="DP170" s="328">
        <v>19.78</v>
      </c>
      <c r="DQ170" s="328">
        <v>9.61</v>
      </c>
    </row>
    <row r="171" spans="1:121" hidden="1" x14ac:dyDescent="0.25">
      <c r="A171" s="62" t="s">
        <v>365</v>
      </c>
      <c r="B171" s="56" t="str">
        <f>VLOOKUP(Table3[[#This Row],[Station]], StationName, 2, FALSE)</f>
        <v>M02-085-1 (M02P06)</v>
      </c>
      <c r="C171" s="362">
        <v>1935011</v>
      </c>
      <c r="D171" s="325">
        <v>44453.393055555556</v>
      </c>
      <c r="E171" s="326" t="s">
        <v>293</v>
      </c>
      <c r="F171" s="327" t="s">
        <v>294</v>
      </c>
      <c r="G171" s="327" t="s">
        <v>294</v>
      </c>
      <c r="H171" s="327" t="s">
        <v>294</v>
      </c>
      <c r="I171" s="327" t="s">
        <v>294</v>
      </c>
      <c r="J171" s="327" t="s">
        <v>294</v>
      </c>
      <c r="K171" s="327" t="s">
        <v>294</v>
      </c>
      <c r="L171" s="327" t="s">
        <v>294</v>
      </c>
      <c r="M171" s="327" t="s">
        <v>294</v>
      </c>
      <c r="N171" s="327" t="s">
        <v>294</v>
      </c>
      <c r="O171" s="327" t="s">
        <v>294</v>
      </c>
      <c r="P171" s="62" t="s">
        <v>294</v>
      </c>
      <c r="Q171" s="62" t="s">
        <v>294</v>
      </c>
      <c r="R171" s="62" t="s">
        <v>294</v>
      </c>
      <c r="S171" s="327" t="s">
        <v>294</v>
      </c>
      <c r="T171" s="327" t="s">
        <v>294</v>
      </c>
      <c r="U171" s="327" t="s">
        <v>294</v>
      </c>
      <c r="V171" s="327" t="s">
        <v>294</v>
      </c>
      <c r="W171" s="327" t="s">
        <v>294</v>
      </c>
      <c r="X171" s="327" t="s">
        <v>294</v>
      </c>
      <c r="Y171" s="327" t="s">
        <v>294</v>
      </c>
      <c r="Z171" s="327" t="s">
        <v>294</v>
      </c>
      <c r="AA171" s="327" t="s">
        <v>294</v>
      </c>
      <c r="AB171" s="327" t="s">
        <v>294</v>
      </c>
      <c r="AC171" s="327" t="s">
        <v>294</v>
      </c>
      <c r="AD171" s="327" t="s">
        <v>294</v>
      </c>
      <c r="AE171" s="327" t="s">
        <v>294</v>
      </c>
      <c r="AF171" s="62" t="s">
        <v>294</v>
      </c>
      <c r="AG171" s="62" t="s">
        <v>294</v>
      </c>
      <c r="AH171" s="62" t="s">
        <v>294</v>
      </c>
      <c r="AI171" s="327" t="s">
        <v>294</v>
      </c>
      <c r="AJ171" s="327" t="s">
        <v>294</v>
      </c>
      <c r="AK171" s="327" t="s">
        <v>294</v>
      </c>
      <c r="AL171" s="327" t="s">
        <v>294</v>
      </c>
      <c r="AM171" s="327" t="s">
        <v>294</v>
      </c>
      <c r="AN171" s="327" t="s">
        <v>294</v>
      </c>
      <c r="AO171" s="327" t="s">
        <v>294</v>
      </c>
      <c r="AP171" s="62" t="s">
        <v>294</v>
      </c>
      <c r="AQ171" s="62" t="s">
        <v>294</v>
      </c>
      <c r="AR171" s="62" t="s">
        <v>294</v>
      </c>
      <c r="AS171" s="62" t="s">
        <v>294</v>
      </c>
      <c r="AT171" s="62" t="s">
        <v>294</v>
      </c>
      <c r="AU171" s="327" t="s">
        <v>294</v>
      </c>
      <c r="AV171" s="327" t="s">
        <v>294</v>
      </c>
      <c r="AW171" s="62" t="s">
        <v>294</v>
      </c>
      <c r="AX171" s="62" t="s">
        <v>294</v>
      </c>
      <c r="AY171" s="62" t="s">
        <v>294</v>
      </c>
      <c r="AZ171" s="62" t="s">
        <v>294</v>
      </c>
      <c r="BA171" s="62" t="s">
        <v>294</v>
      </c>
      <c r="BB171" s="62" t="s">
        <v>294</v>
      </c>
      <c r="BC171" s="62" t="s">
        <v>294</v>
      </c>
      <c r="BD171" s="62" t="s">
        <v>294</v>
      </c>
      <c r="BE171" s="62" t="s">
        <v>294</v>
      </c>
      <c r="BF171" s="62" t="s">
        <v>294</v>
      </c>
      <c r="BG171" s="327" t="s">
        <v>294</v>
      </c>
      <c r="BH171" s="327" t="s">
        <v>294</v>
      </c>
      <c r="BI171" s="327" t="s">
        <v>294</v>
      </c>
      <c r="BJ171" s="62" t="s">
        <v>294</v>
      </c>
      <c r="BK171" s="327" t="s">
        <v>294</v>
      </c>
      <c r="BL171" s="327" t="s">
        <v>294</v>
      </c>
      <c r="BM171" s="327" t="s">
        <v>294</v>
      </c>
      <c r="BN171" s="62" t="s">
        <v>294</v>
      </c>
      <c r="BO171" s="62" t="s">
        <v>294</v>
      </c>
      <c r="BP171" s="62" t="s">
        <v>294</v>
      </c>
      <c r="BQ171" s="62" t="s">
        <v>294</v>
      </c>
      <c r="BR171" s="327" t="s">
        <v>294</v>
      </c>
      <c r="BS171" s="327" t="s">
        <v>294</v>
      </c>
      <c r="BT171" s="327" t="s">
        <v>294</v>
      </c>
      <c r="BU171" s="327" t="s">
        <v>294</v>
      </c>
      <c r="BV171" s="327" t="s">
        <v>294</v>
      </c>
      <c r="BW171" s="62" t="s">
        <v>294</v>
      </c>
      <c r="BX171" s="62" t="s">
        <v>294</v>
      </c>
      <c r="BY171" s="62" t="s">
        <v>294</v>
      </c>
      <c r="BZ171" s="62" t="s">
        <v>294</v>
      </c>
      <c r="CA171" s="62">
        <v>1.6</v>
      </c>
      <c r="CB171" s="62">
        <v>100</v>
      </c>
      <c r="CC171" s="62" t="s">
        <v>294</v>
      </c>
      <c r="CD171" s="62" t="s">
        <v>230</v>
      </c>
      <c r="CE171" s="62">
        <v>0.77</v>
      </c>
      <c r="CF171" s="62">
        <v>4.2</v>
      </c>
      <c r="CG171" s="62" t="s">
        <v>294</v>
      </c>
      <c r="CH171" s="62" t="s">
        <v>294</v>
      </c>
      <c r="CI171" s="62">
        <v>190</v>
      </c>
      <c r="CJ171" s="62" t="s">
        <v>254</v>
      </c>
      <c r="CK171" s="62" t="s">
        <v>294</v>
      </c>
      <c r="CL171" s="62">
        <v>3200</v>
      </c>
      <c r="CM171" s="62" t="s">
        <v>294</v>
      </c>
      <c r="CN171" s="62" t="s">
        <v>288</v>
      </c>
      <c r="CO171" s="62">
        <v>660</v>
      </c>
      <c r="CP171" s="62">
        <v>18</v>
      </c>
      <c r="CQ171" s="62" t="s">
        <v>254</v>
      </c>
      <c r="CR171" s="62">
        <v>0.34</v>
      </c>
      <c r="CS171" s="62" t="s">
        <v>294</v>
      </c>
      <c r="CT171" s="62">
        <v>280</v>
      </c>
      <c r="CU171" s="62" t="s">
        <v>294</v>
      </c>
      <c r="CV171" s="62" t="s">
        <v>294</v>
      </c>
      <c r="CW171" s="62" t="s">
        <v>294</v>
      </c>
      <c r="CX171" s="62" t="s">
        <v>294</v>
      </c>
      <c r="CY171" s="62" t="s">
        <v>294</v>
      </c>
      <c r="CZ171" s="62" t="s">
        <v>294</v>
      </c>
      <c r="DA171" s="62" t="s">
        <v>294</v>
      </c>
      <c r="DB171" s="62" t="s">
        <v>294</v>
      </c>
      <c r="DC171" s="62" t="s">
        <v>294</v>
      </c>
      <c r="DD171" s="62" t="s">
        <v>294</v>
      </c>
      <c r="DE171" s="62" t="s">
        <v>294</v>
      </c>
      <c r="DF171" s="62" t="s">
        <v>294</v>
      </c>
      <c r="DG171" s="62" t="s">
        <v>294</v>
      </c>
      <c r="DH171" s="62" t="s">
        <v>294</v>
      </c>
      <c r="DI171" s="62" t="s">
        <v>294</v>
      </c>
      <c r="DJ171" s="62" t="s">
        <v>294</v>
      </c>
      <c r="DK171" s="62" t="s">
        <v>294</v>
      </c>
      <c r="DL171" s="62" t="s">
        <v>294</v>
      </c>
      <c r="DM171" s="62" t="s">
        <v>294</v>
      </c>
      <c r="DN171" s="328" t="s">
        <v>294</v>
      </c>
      <c r="DO171" s="328" t="s">
        <v>294</v>
      </c>
      <c r="DP171" s="328" t="s">
        <v>294</v>
      </c>
      <c r="DQ171" s="328" t="s">
        <v>294</v>
      </c>
    </row>
    <row r="172" spans="1:121" x14ac:dyDescent="0.25">
      <c r="A172" s="62" t="s">
        <v>160</v>
      </c>
      <c r="B172" s="56" t="str">
        <f>VLOOKUP(Table3[[#This Row],[Station]], StationName, 2, FALSE)</f>
        <v>M02-032-1</v>
      </c>
      <c r="C172" s="362">
        <v>1935003</v>
      </c>
      <c r="D172" s="325">
        <v>44453.406944444447</v>
      </c>
      <c r="E172" s="326" t="s">
        <v>283</v>
      </c>
      <c r="F172" s="327">
        <v>68</v>
      </c>
      <c r="G172" s="327">
        <v>81</v>
      </c>
      <c r="H172" s="327">
        <v>64</v>
      </c>
      <c r="I172" s="327">
        <v>88</v>
      </c>
      <c r="J172" s="327">
        <v>52</v>
      </c>
      <c r="K172" s="327">
        <v>48</v>
      </c>
      <c r="L172" s="327">
        <v>49</v>
      </c>
      <c r="M172" s="327">
        <v>65</v>
      </c>
      <c r="N172" s="327">
        <v>41</v>
      </c>
      <c r="O172" s="327" t="s">
        <v>259</v>
      </c>
      <c r="P172" s="62" t="s">
        <v>259</v>
      </c>
      <c r="Q172" s="62" t="s">
        <v>259</v>
      </c>
      <c r="R172" s="62" t="s">
        <v>259</v>
      </c>
      <c r="S172" s="327" t="s">
        <v>259</v>
      </c>
      <c r="T172" s="327" t="s">
        <v>259</v>
      </c>
      <c r="U172" s="327">
        <v>1.55</v>
      </c>
      <c r="V172" s="327" t="s">
        <v>256</v>
      </c>
      <c r="W172" s="327" t="s">
        <v>256</v>
      </c>
      <c r="X172" s="327" t="s">
        <v>256</v>
      </c>
      <c r="Y172" s="327" t="s">
        <v>284</v>
      </c>
      <c r="Z172" s="327">
        <v>1.18</v>
      </c>
      <c r="AA172" s="327">
        <v>1.34</v>
      </c>
      <c r="AB172" s="327" t="s">
        <v>256</v>
      </c>
      <c r="AC172" s="327">
        <v>1.93</v>
      </c>
      <c r="AD172" s="327">
        <v>1.35</v>
      </c>
      <c r="AE172" s="327" t="s">
        <v>256</v>
      </c>
      <c r="AF172" s="62" t="s">
        <v>256</v>
      </c>
      <c r="AG172" s="62" t="s">
        <v>256</v>
      </c>
      <c r="AH172" s="62" t="s">
        <v>256</v>
      </c>
      <c r="AI172" s="327" t="s">
        <v>256</v>
      </c>
      <c r="AJ172" s="327" t="s">
        <v>248</v>
      </c>
      <c r="AK172" s="327" t="s">
        <v>259</v>
      </c>
      <c r="AL172" s="327" t="s">
        <v>259</v>
      </c>
      <c r="AM172" s="327" t="s">
        <v>251</v>
      </c>
      <c r="AN172" s="327" t="s">
        <v>256</v>
      </c>
      <c r="AO172" s="327" t="s">
        <v>259</v>
      </c>
      <c r="AP172" s="62" t="s">
        <v>251</v>
      </c>
      <c r="AQ172" s="62">
        <v>1.97</v>
      </c>
      <c r="AR172" s="62" t="s">
        <v>256</v>
      </c>
      <c r="AS172" s="62" t="s">
        <v>285</v>
      </c>
      <c r="AT172" s="62" t="s">
        <v>259</v>
      </c>
      <c r="AU172" s="327" t="s">
        <v>284</v>
      </c>
      <c r="AV172" s="327" t="s">
        <v>259</v>
      </c>
      <c r="AW172" s="62" t="s">
        <v>256</v>
      </c>
      <c r="AX172" s="62" t="s">
        <v>256</v>
      </c>
      <c r="AY172" s="62" t="s">
        <v>256</v>
      </c>
      <c r="AZ172" s="62" t="s">
        <v>256</v>
      </c>
      <c r="BA172" s="62" t="s">
        <v>256</v>
      </c>
      <c r="BB172" s="62" t="s">
        <v>259</v>
      </c>
      <c r="BC172" s="62" t="s">
        <v>286</v>
      </c>
      <c r="BD172" s="62" t="s">
        <v>248</v>
      </c>
      <c r="BE172" s="62" t="s">
        <v>259</v>
      </c>
      <c r="BF172" s="62" t="s">
        <v>248</v>
      </c>
      <c r="BG172" s="327">
        <v>1.54</v>
      </c>
      <c r="BH172" s="327" t="s">
        <v>256</v>
      </c>
      <c r="BI172" s="327" t="s">
        <v>256</v>
      </c>
      <c r="BJ172" s="62" t="s">
        <v>256</v>
      </c>
      <c r="BK172" s="327" t="s">
        <v>256</v>
      </c>
      <c r="BL172" s="327" t="s">
        <v>256</v>
      </c>
      <c r="BM172" s="327" t="s">
        <v>259</v>
      </c>
      <c r="BN172" s="62" t="s">
        <v>256</v>
      </c>
      <c r="BO172" s="62" t="s">
        <v>259</v>
      </c>
      <c r="BP172" s="62" t="s">
        <v>284</v>
      </c>
      <c r="BQ172" s="62" t="s">
        <v>256</v>
      </c>
      <c r="BR172" s="327">
        <v>4.17</v>
      </c>
      <c r="BS172" s="327" t="s">
        <v>256</v>
      </c>
      <c r="BT172" s="327" t="s">
        <v>284</v>
      </c>
      <c r="BU172" s="327">
        <v>2.38</v>
      </c>
      <c r="BV172" s="327" t="s">
        <v>248</v>
      </c>
      <c r="BW172" s="62" t="s">
        <v>285</v>
      </c>
      <c r="BX172" s="62" t="s">
        <v>287</v>
      </c>
      <c r="BY172" s="62" t="s">
        <v>259</v>
      </c>
      <c r="BZ172" s="62" t="s">
        <v>259</v>
      </c>
      <c r="CA172" s="62">
        <v>3.2</v>
      </c>
      <c r="CB172" s="62">
        <v>1.5</v>
      </c>
      <c r="CC172" s="62">
        <v>168</v>
      </c>
      <c r="CD172" s="62">
        <v>4.8000000000000001E-2</v>
      </c>
      <c r="CE172" s="62">
        <v>4.0999999999999996</v>
      </c>
      <c r="CF172" s="62">
        <v>7.7</v>
      </c>
      <c r="CG172" s="62">
        <v>11</v>
      </c>
      <c r="CH172" s="62">
        <v>681</v>
      </c>
      <c r="CI172" s="62">
        <v>3200</v>
      </c>
      <c r="CJ172" s="62">
        <v>1.1000000000000001</v>
      </c>
      <c r="CK172" s="62">
        <v>63.5</v>
      </c>
      <c r="CL172" s="62">
        <v>460</v>
      </c>
      <c r="CM172" s="62" t="s">
        <v>288</v>
      </c>
      <c r="CN172" s="62" t="s">
        <v>288</v>
      </c>
      <c r="CO172" s="62">
        <v>18</v>
      </c>
      <c r="CP172" s="62">
        <v>2.4</v>
      </c>
      <c r="CQ172" s="62" t="s">
        <v>254</v>
      </c>
      <c r="CR172" s="62" t="s">
        <v>254</v>
      </c>
      <c r="CS172" s="62">
        <v>11</v>
      </c>
      <c r="CT172" s="62">
        <v>47</v>
      </c>
      <c r="CU172" s="62" t="s">
        <v>153</v>
      </c>
      <c r="CV172" s="62">
        <v>310</v>
      </c>
      <c r="CW172" s="62">
        <v>4.3</v>
      </c>
      <c r="CX172" s="62">
        <v>2.4</v>
      </c>
      <c r="CY172" s="62">
        <v>0.33</v>
      </c>
      <c r="CZ172" s="62">
        <v>7.99</v>
      </c>
      <c r="DA172" s="62">
        <v>1.4</v>
      </c>
      <c r="DB172" s="62">
        <v>3000</v>
      </c>
      <c r="DC172" s="62">
        <v>670</v>
      </c>
      <c r="DD172" s="62">
        <v>23.3</v>
      </c>
      <c r="DE172" s="62">
        <v>1600</v>
      </c>
      <c r="DF172" s="62">
        <v>34</v>
      </c>
      <c r="DG172" s="62">
        <v>280</v>
      </c>
      <c r="DH172" s="62">
        <v>2.5</v>
      </c>
      <c r="DI172" s="62">
        <v>840</v>
      </c>
      <c r="DJ172" s="62">
        <v>430</v>
      </c>
      <c r="DK172" s="62">
        <v>400</v>
      </c>
      <c r="DL172" s="62" t="s">
        <v>433</v>
      </c>
      <c r="DM172" s="62">
        <v>8.74</v>
      </c>
      <c r="DN172" s="328">
        <v>8.67</v>
      </c>
      <c r="DO172" s="328">
        <v>2416</v>
      </c>
      <c r="DP172" s="328">
        <v>18.510000000000002</v>
      </c>
      <c r="DQ172" s="328">
        <v>66.400000000000006</v>
      </c>
    </row>
    <row r="173" spans="1:121" hidden="1" x14ac:dyDescent="0.25">
      <c r="A173" s="62" t="s">
        <v>160</v>
      </c>
      <c r="B173" s="56" t="str">
        <f>VLOOKUP(Table3[[#This Row],[Station]], StationName, 2, FALSE)</f>
        <v>M02-032-1</v>
      </c>
      <c r="C173" s="362">
        <v>1935009</v>
      </c>
      <c r="D173" s="325">
        <v>44453.406944444447</v>
      </c>
      <c r="E173" s="326" t="s">
        <v>293</v>
      </c>
      <c r="F173" s="327" t="s">
        <v>294</v>
      </c>
      <c r="G173" s="327" t="s">
        <v>294</v>
      </c>
      <c r="H173" s="327" t="s">
        <v>294</v>
      </c>
      <c r="I173" s="327" t="s">
        <v>294</v>
      </c>
      <c r="J173" s="327" t="s">
        <v>294</v>
      </c>
      <c r="K173" s="327" t="s">
        <v>294</v>
      </c>
      <c r="L173" s="327" t="s">
        <v>294</v>
      </c>
      <c r="M173" s="327" t="s">
        <v>294</v>
      </c>
      <c r="N173" s="327" t="s">
        <v>294</v>
      </c>
      <c r="O173" s="327" t="s">
        <v>294</v>
      </c>
      <c r="P173" s="62" t="s">
        <v>294</v>
      </c>
      <c r="Q173" s="62" t="s">
        <v>294</v>
      </c>
      <c r="R173" s="62" t="s">
        <v>294</v>
      </c>
      <c r="S173" s="327" t="s">
        <v>294</v>
      </c>
      <c r="T173" s="327" t="s">
        <v>294</v>
      </c>
      <c r="U173" s="327" t="s">
        <v>294</v>
      </c>
      <c r="V173" s="327" t="s">
        <v>294</v>
      </c>
      <c r="W173" s="327" t="s">
        <v>294</v>
      </c>
      <c r="X173" s="327" t="s">
        <v>294</v>
      </c>
      <c r="Y173" s="327" t="s">
        <v>294</v>
      </c>
      <c r="Z173" s="327" t="s">
        <v>294</v>
      </c>
      <c r="AA173" s="327" t="s">
        <v>294</v>
      </c>
      <c r="AB173" s="327" t="s">
        <v>294</v>
      </c>
      <c r="AC173" s="327" t="s">
        <v>294</v>
      </c>
      <c r="AD173" s="327" t="s">
        <v>294</v>
      </c>
      <c r="AE173" s="327" t="s">
        <v>294</v>
      </c>
      <c r="AF173" s="62" t="s">
        <v>294</v>
      </c>
      <c r="AG173" s="62" t="s">
        <v>294</v>
      </c>
      <c r="AH173" s="62" t="s">
        <v>294</v>
      </c>
      <c r="AI173" s="327" t="s">
        <v>294</v>
      </c>
      <c r="AJ173" s="327" t="s">
        <v>294</v>
      </c>
      <c r="AK173" s="327" t="s">
        <v>294</v>
      </c>
      <c r="AL173" s="327" t="s">
        <v>294</v>
      </c>
      <c r="AM173" s="327" t="s">
        <v>294</v>
      </c>
      <c r="AN173" s="327" t="s">
        <v>294</v>
      </c>
      <c r="AO173" s="327" t="s">
        <v>294</v>
      </c>
      <c r="AP173" s="62" t="s">
        <v>294</v>
      </c>
      <c r="AQ173" s="62" t="s">
        <v>294</v>
      </c>
      <c r="AR173" s="62" t="s">
        <v>294</v>
      </c>
      <c r="AS173" s="62" t="s">
        <v>294</v>
      </c>
      <c r="AT173" s="62" t="s">
        <v>294</v>
      </c>
      <c r="AU173" s="327" t="s">
        <v>294</v>
      </c>
      <c r="AV173" s="327" t="s">
        <v>294</v>
      </c>
      <c r="AW173" s="62" t="s">
        <v>294</v>
      </c>
      <c r="AX173" s="62" t="s">
        <v>294</v>
      </c>
      <c r="AY173" s="62" t="s">
        <v>294</v>
      </c>
      <c r="AZ173" s="62" t="s">
        <v>294</v>
      </c>
      <c r="BA173" s="62" t="s">
        <v>294</v>
      </c>
      <c r="BB173" s="62" t="s">
        <v>294</v>
      </c>
      <c r="BC173" s="62" t="s">
        <v>294</v>
      </c>
      <c r="BD173" s="62" t="s">
        <v>294</v>
      </c>
      <c r="BE173" s="62" t="s">
        <v>294</v>
      </c>
      <c r="BF173" s="62" t="s">
        <v>294</v>
      </c>
      <c r="BG173" s="327" t="s">
        <v>294</v>
      </c>
      <c r="BH173" s="327" t="s">
        <v>294</v>
      </c>
      <c r="BI173" s="327" t="s">
        <v>294</v>
      </c>
      <c r="BJ173" s="62" t="s">
        <v>294</v>
      </c>
      <c r="BK173" s="327" t="s">
        <v>294</v>
      </c>
      <c r="BL173" s="327" t="s">
        <v>294</v>
      </c>
      <c r="BM173" s="327" t="s">
        <v>294</v>
      </c>
      <c r="BN173" s="62" t="s">
        <v>294</v>
      </c>
      <c r="BO173" s="62" t="s">
        <v>294</v>
      </c>
      <c r="BP173" s="62" t="s">
        <v>294</v>
      </c>
      <c r="BQ173" s="62" t="s">
        <v>294</v>
      </c>
      <c r="BR173" s="327" t="s">
        <v>294</v>
      </c>
      <c r="BS173" s="327" t="s">
        <v>294</v>
      </c>
      <c r="BT173" s="327" t="s">
        <v>294</v>
      </c>
      <c r="BU173" s="327" t="s">
        <v>294</v>
      </c>
      <c r="BV173" s="327" t="s">
        <v>294</v>
      </c>
      <c r="BW173" s="62" t="s">
        <v>294</v>
      </c>
      <c r="BX173" s="62" t="s">
        <v>294</v>
      </c>
      <c r="BY173" s="62" t="s">
        <v>294</v>
      </c>
      <c r="BZ173" s="62" t="s">
        <v>294</v>
      </c>
      <c r="CA173" s="62">
        <v>2.5</v>
      </c>
      <c r="CB173" s="62">
        <v>0.48</v>
      </c>
      <c r="CC173" s="62" t="s">
        <v>294</v>
      </c>
      <c r="CD173" s="62">
        <v>3.5999999999999997E-2</v>
      </c>
      <c r="CE173" s="62">
        <v>0.3</v>
      </c>
      <c r="CF173" s="62">
        <v>2.2000000000000002</v>
      </c>
      <c r="CG173" s="62" t="s">
        <v>294</v>
      </c>
      <c r="CH173" s="62" t="s">
        <v>294</v>
      </c>
      <c r="CI173" s="62">
        <v>37</v>
      </c>
      <c r="CJ173" s="62" t="s">
        <v>254</v>
      </c>
      <c r="CK173" s="62" t="s">
        <v>294</v>
      </c>
      <c r="CL173" s="62">
        <v>66</v>
      </c>
      <c r="CM173" s="62" t="s">
        <v>294</v>
      </c>
      <c r="CN173" s="62" t="s">
        <v>288</v>
      </c>
      <c r="CO173" s="62">
        <v>7.9</v>
      </c>
      <c r="CP173" s="62">
        <v>2.4</v>
      </c>
      <c r="CQ173" s="62" t="s">
        <v>254</v>
      </c>
      <c r="CR173" s="62" t="s">
        <v>254</v>
      </c>
      <c r="CS173" s="62" t="s">
        <v>294</v>
      </c>
      <c r="CT173" s="62" t="s">
        <v>284</v>
      </c>
      <c r="CU173" s="62" t="s">
        <v>294</v>
      </c>
      <c r="CV173" s="62" t="s">
        <v>294</v>
      </c>
      <c r="CW173" s="62" t="s">
        <v>294</v>
      </c>
      <c r="CX173" s="62" t="s">
        <v>294</v>
      </c>
      <c r="CY173" s="62" t="s">
        <v>294</v>
      </c>
      <c r="CZ173" s="62" t="s">
        <v>294</v>
      </c>
      <c r="DA173" s="62" t="s">
        <v>294</v>
      </c>
      <c r="DB173" s="62" t="s">
        <v>294</v>
      </c>
      <c r="DC173" s="62" t="s">
        <v>294</v>
      </c>
      <c r="DD173" s="62" t="s">
        <v>294</v>
      </c>
      <c r="DE173" s="62" t="s">
        <v>294</v>
      </c>
      <c r="DF173" s="62" t="s">
        <v>294</v>
      </c>
      <c r="DG173" s="62" t="s">
        <v>294</v>
      </c>
      <c r="DH173" s="62" t="s">
        <v>294</v>
      </c>
      <c r="DI173" s="62" t="s">
        <v>294</v>
      </c>
      <c r="DJ173" s="62" t="s">
        <v>294</v>
      </c>
      <c r="DK173" s="62" t="s">
        <v>294</v>
      </c>
      <c r="DL173" s="62" t="s">
        <v>294</v>
      </c>
      <c r="DM173" s="62" t="s">
        <v>294</v>
      </c>
      <c r="DN173" s="328" t="s">
        <v>294</v>
      </c>
      <c r="DO173" s="328" t="s">
        <v>294</v>
      </c>
      <c r="DP173" s="328" t="s">
        <v>294</v>
      </c>
      <c r="DQ173" s="328" t="s">
        <v>294</v>
      </c>
    </row>
    <row r="174" spans="1:121" x14ac:dyDescent="0.25">
      <c r="A174" s="62" t="s">
        <v>166</v>
      </c>
      <c r="B174" s="56" t="str">
        <f>VLOOKUP(Table3[[#This Row],[Station]], StationName, 2, FALSE)</f>
        <v>M02-085-2</v>
      </c>
      <c r="C174" s="362">
        <v>1935006</v>
      </c>
      <c r="D174" s="325">
        <v>44453.420138888891</v>
      </c>
      <c r="E174" s="326" t="s">
        <v>283</v>
      </c>
      <c r="F174" s="327">
        <v>70</v>
      </c>
      <c r="G174" s="327">
        <v>82</v>
      </c>
      <c r="H174" s="327">
        <v>66</v>
      </c>
      <c r="I174" s="327">
        <v>93</v>
      </c>
      <c r="J174" s="327">
        <v>57</v>
      </c>
      <c r="K174" s="327">
        <v>50</v>
      </c>
      <c r="L174" s="327">
        <v>50</v>
      </c>
      <c r="M174" s="327">
        <v>71</v>
      </c>
      <c r="N174" s="327">
        <v>40</v>
      </c>
      <c r="O174" s="327" t="s">
        <v>259</v>
      </c>
      <c r="P174" s="62" t="s">
        <v>259</v>
      </c>
      <c r="Q174" s="62" t="s">
        <v>259</v>
      </c>
      <c r="R174" s="62" t="s">
        <v>259</v>
      </c>
      <c r="S174" s="327" t="s">
        <v>259</v>
      </c>
      <c r="T174" s="327" t="s">
        <v>259</v>
      </c>
      <c r="U174" s="327" t="s">
        <v>256</v>
      </c>
      <c r="V174" s="327" t="s">
        <v>256</v>
      </c>
      <c r="W174" s="327" t="s">
        <v>256</v>
      </c>
      <c r="X174" s="327">
        <v>1.79</v>
      </c>
      <c r="Y174" s="327" t="s">
        <v>284</v>
      </c>
      <c r="Z174" s="327" t="s">
        <v>256</v>
      </c>
      <c r="AA174" s="327" t="s">
        <v>256</v>
      </c>
      <c r="AB174" s="327" t="s">
        <v>256</v>
      </c>
      <c r="AC174" s="327" t="s">
        <v>256</v>
      </c>
      <c r="AD174" s="327" t="s">
        <v>256</v>
      </c>
      <c r="AE174" s="327" t="s">
        <v>256</v>
      </c>
      <c r="AF174" s="62" t="s">
        <v>256</v>
      </c>
      <c r="AG174" s="62" t="s">
        <v>256</v>
      </c>
      <c r="AH174" s="62" t="s">
        <v>256</v>
      </c>
      <c r="AI174" s="327" t="s">
        <v>256</v>
      </c>
      <c r="AJ174" s="327" t="s">
        <v>248</v>
      </c>
      <c r="AK174" s="327" t="s">
        <v>259</v>
      </c>
      <c r="AL174" s="327" t="s">
        <v>259</v>
      </c>
      <c r="AM174" s="327" t="s">
        <v>251</v>
      </c>
      <c r="AN174" s="327" t="s">
        <v>256</v>
      </c>
      <c r="AO174" s="327" t="s">
        <v>259</v>
      </c>
      <c r="AP174" s="62" t="s">
        <v>251</v>
      </c>
      <c r="AQ174" s="62" t="s">
        <v>256</v>
      </c>
      <c r="AR174" s="62" t="s">
        <v>256</v>
      </c>
      <c r="AS174" s="62" t="s">
        <v>285</v>
      </c>
      <c r="AT174" s="62" t="s">
        <v>259</v>
      </c>
      <c r="AU174" s="327" t="s">
        <v>284</v>
      </c>
      <c r="AV174" s="327" t="s">
        <v>259</v>
      </c>
      <c r="AW174" s="62" t="s">
        <v>256</v>
      </c>
      <c r="AX174" s="62" t="s">
        <v>256</v>
      </c>
      <c r="AY174" s="62" t="s">
        <v>256</v>
      </c>
      <c r="AZ174" s="62" t="s">
        <v>256</v>
      </c>
      <c r="BA174" s="62" t="s">
        <v>256</v>
      </c>
      <c r="BB174" s="62" t="s">
        <v>259</v>
      </c>
      <c r="BC174" s="62" t="s">
        <v>286</v>
      </c>
      <c r="BD174" s="62" t="s">
        <v>248</v>
      </c>
      <c r="BE174" s="62" t="s">
        <v>259</v>
      </c>
      <c r="BF174" s="62" t="s">
        <v>248</v>
      </c>
      <c r="BG174" s="327">
        <v>2.95</v>
      </c>
      <c r="BH174" s="327" t="s">
        <v>256</v>
      </c>
      <c r="BI174" s="327" t="s">
        <v>256</v>
      </c>
      <c r="BJ174" s="62" t="s">
        <v>256</v>
      </c>
      <c r="BK174" s="327" t="s">
        <v>256</v>
      </c>
      <c r="BL174" s="327" t="s">
        <v>256</v>
      </c>
      <c r="BM174" s="327" t="s">
        <v>259</v>
      </c>
      <c r="BN174" s="62" t="s">
        <v>256</v>
      </c>
      <c r="BO174" s="62" t="s">
        <v>259</v>
      </c>
      <c r="BP174" s="62" t="s">
        <v>284</v>
      </c>
      <c r="BQ174" s="62" t="s">
        <v>256</v>
      </c>
      <c r="BR174" s="327">
        <v>4.13</v>
      </c>
      <c r="BS174" s="327">
        <v>2.8</v>
      </c>
      <c r="BT174" s="327" t="s">
        <v>284</v>
      </c>
      <c r="BU174" s="327">
        <v>2.58</v>
      </c>
      <c r="BV174" s="327" t="s">
        <v>248</v>
      </c>
      <c r="BW174" s="62" t="s">
        <v>285</v>
      </c>
      <c r="BX174" s="62" t="s">
        <v>287</v>
      </c>
      <c r="BY174" s="62" t="s">
        <v>259</v>
      </c>
      <c r="BZ174" s="62" t="s">
        <v>259</v>
      </c>
      <c r="CA174" s="62">
        <v>2.4</v>
      </c>
      <c r="CB174" s="62">
        <v>1.2</v>
      </c>
      <c r="CC174" s="62">
        <v>158</v>
      </c>
      <c r="CD174" s="62">
        <v>0.16</v>
      </c>
      <c r="CE174" s="62">
        <v>0.51</v>
      </c>
      <c r="CF174" s="62">
        <v>5.8</v>
      </c>
      <c r="CG174" s="62">
        <v>11</v>
      </c>
      <c r="CH174" s="62">
        <v>619</v>
      </c>
      <c r="CI174" s="62">
        <v>61</v>
      </c>
      <c r="CJ174" s="62" t="s">
        <v>254</v>
      </c>
      <c r="CK174" s="62">
        <v>54.3</v>
      </c>
      <c r="CL174" s="62">
        <v>18</v>
      </c>
      <c r="CM174" s="62" t="s">
        <v>288</v>
      </c>
      <c r="CN174" s="62" t="s">
        <v>288</v>
      </c>
      <c r="CO174" s="62">
        <v>9.6999999999999993</v>
      </c>
      <c r="CP174" s="62">
        <v>3.1</v>
      </c>
      <c r="CQ174" s="62" t="s">
        <v>254</v>
      </c>
      <c r="CR174" s="62" t="s">
        <v>254</v>
      </c>
      <c r="CS174" s="62">
        <v>10</v>
      </c>
      <c r="CT174" s="62" t="s">
        <v>284</v>
      </c>
      <c r="CU174" s="62">
        <v>0.16</v>
      </c>
      <c r="CV174" s="62">
        <v>280</v>
      </c>
      <c r="CW174" s="62">
        <v>4.4000000000000004</v>
      </c>
      <c r="CX174" s="62">
        <v>0.96</v>
      </c>
      <c r="CY174" s="62">
        <v>0.36</v>
      </c>
      <c r="CZ174" s="62">
        <v>7.94</v>
      </c>
      <c r="DA174" s="62">
        <v>1.5</v>
      </c>
      <c r="DB174" s="62">
        <v>2700</v>
      </c>
      <c r="DC174" s="62">
        <v>580</v>
      </c>
      <c r="DD174" s="62">
        <v>23.3</v>
      </c>
      <c r="DE174" s="62">
        <v>1300</v>
      </c>
      <c r="DF174" s="62" t="s">
        <v>289</v>
      </c>
      <c r="DG174" s="62">
        <v>1.1000000000000001</v>
      </c>
      <c r="DH174" s="62">
        <v>0.9</v>
      </c>
      <c r="DI174" s="62">
        <v>5400</v>
      </c>
      <c r="DJ174" s="62" t="s">
        <v>434</v>
      </c>
      <c r="DK174" s="62">
        <v>1400</v>
      </c>
      <c r="DL174" s="62" t="s">
        <v>369</v>
      </c>
      <c r="DM174" s="62">
        <v>8.69</v>
      </c>
      <c r="DN174" s="328">
        <v>7.76</v>
      </c>
      <c r="DO174" s="328">
        <v>2179.8000000000002</v>
      </c>
      <c r="DP174" s="328">
        <v>19.440000000000001</v>
      </c>
      <c r="DQ174" s="328">
        <v>1.32</v>
      </c>
    </row>
    <row r="175" spans="1:121" hidden="1" x14ac:dyDescent="0.25">
      <c r="A175" s="62" t="s">
        <v>166</v>
      </c>
      <c r="B175" s="56" t="str">
        <f>VLOOKUP(Table3[[#This Row],[Station]], StationName, 2, FALSE)</f>
        <v>M02-085-2</v>
      </c>
      <c r="C175" s="362">
        <v>1935012</v>
      </c>
      <c r="D175" s="325">
        <v>44453.420138888891</v>
      </c>
      <c r="E175" s="326" t="s">
        <v>293</v>
      </c>
      <c r="F175" s="327" t="s">
        <v>294</v>
      </c>
      <c r="G175" s="327" t="s">
        <v>294</v>
      </c>
      <c r="H175" s="327" t="s">
        <v>294</v>
      </c>
      <c r="I175" s="327" t="s">
        <v>294</v>
      </c>
      <c r="J175" s="327" t="s">
        <v>294</v>
      </c>
      <c r="K175" s="327" t="s">
        <v>294</v>
      </c>
      <c r="L175" s="327" t="s">
        <v>294</v>
      </c>
      <c r="M175" s="327" t="s">
        <v>294</v>
      </c>
      <c r="N175" s="327" t="s">
        <v>294</v>
      </c>
      <c r="O175" s="327" t="s">
        <v>294</v>
      </c>
      <c r="P175" s="62" t="s">
        <v>294</v>
      </c>
      <c r="Q175" s="62" t="s">
        <v>294</v>
      </c>
      <c r="R175" s="62" t="s">
        <v>294</v>
      </c>
      <c r="S175" s="327" t="s">
        <v>294</v>
      </c>
      <c r="T175" s="327" t="s">
        <v>294</v>
      </c>
      <c r="U175" s="327" t="s">
        <v>294</v>
      </c>
      <c r="V175" s="327" t="s">
        <v>294</v>
      </c>
      <c r="W175" s="327" t="s">
        <v>294</v>
      </c>
      <c r="X175" s="327" t="s">
        <v>294</v>
      </c>
      <c r="Y175" s="327" t="s">
        <v>294</v>
      </c>
      <c r="Z175" s="327" t="s">
        <v>294</v>
      </c>
      <c r="AA175" s="327" t="s">
        <v>294</v>
      </c>
      <c r="AB175" s="327" t="s">
        <v>294</v>
      </c>
      <c r="AC175" s="327" t="s">
        <v>294</v>
      </c>
      <c r="AD175" s="327" t="s">
        <v>294</v>
      </c>
      <c r="AE175" s="327" t="s">
        <v>294</v>
      </c>
      <c r="AF175" s="62" t="s">
        <v>294</v>
      </c>
      <c r="AG175" s="62" t="s">
        <v>294</v>
      </c>
      <c r="AH175" s="62" t="s">
        <v>294</v>
      </c>
      <c r="AI175" s="327" t="s">
        <v>294</v>
      </c>
      <c r="AJ175" s="327" t="s">
        <v>294</v>
      </c>
      <c r="AK175" s="327" t="s">
        <v>294</v>
      </c>
      <c r="AL175" s="327" t="s">
        <v>294</v>
      </c>
      <c r="AM175" s="327" t="s">
        <v>294</v>
      </c>
      <c r="AN175" s="327" t="s">
        <v>294</v>
      </c>
      <c r="AO175" s="327" t="s">
        <v>294</v>
      </c>
      <c r="AP175" s="62" t="s">
        <v>294</v>
      </c>
      <c r="AQ175" s="62" t="s">
        <v>294</v>
      </c>
      <c r="AR175" s="62" t="s">
        <v>294</v>
      </c>
      <c r="AS175" s="62" t="s">
        <v>294</v>
      </c>
      <c r="AT175" s="62" t="s">
        <v>294</v>
      </c>
      <c r="AU175" s="327" t="s">
        <v>294</v>
      </c>
      <c r="AV175" s="327" t="s">
        <v>294</v>
      </c>
      <c r="AW175" s="62" t="s">
        <v>294</v>
      </c>
      <c r="AX175" s="62" t="s">
        <v>294</v>
      </c>
      <c r="AY175" s="62" t="s">
        <v>294</v>
      </c>
      <c r="AZ175" s="62" t="s">
        <v>294</v>
      </c>
      <c r="BA175" s="62" t="s">
        <v>294</v>
      </c>
      <c r="BB175" s="62" t="s">
        <v>294</v>
      </c>
      <c r="BC175" s="62" t="s">
        <v>294</v>
      </c>
      <c r="BD175" s="62" t="s">
        <v>294</v>
      </c>
      <c r="BE175" s="62" t="s">
        <v>294</v>
      </c>
      <c r="BF175" s="62" t="s">
        <v>294</v>
      </c>
      <c r="BG175" s="327" t="s">
        <v>294</v>
      </c>
      <c r="BH175" s="327" t="s">
        <v>294</v>
      </c>
      <c r="BI175" s="327" t="s">
        <v>294</v>
      </c>
      <c r="BJ175" s="62" t="s">
        <v>294</v>
      </c>
      <c r="BK175" s="327" t="s">
        <v>294</v>
      </c>
      <c r="BL175" s="327" t="s">
        <v>294</v>
      </c>
      <c r="BM175" s="327" t="s">
        <v>294</v>
      </c>
      <c r="BN175" s="62" t="s">
        <v>294</v>
      </c>
      <c r="BO175" s="62" t="s">
        <v>294</v>
      </c>
      <c r="BP175" s="62" t="s">
        <v>294</v>
      </c>
      <c r="BQ175" s="62" t="s">
        <v>294</v>
      </c>
      <c r="BR175" s="327" t="s">
        <v>294</v>
      </c>
      <c r="BS175" s="327" t="s">
        <v>294</v>
      </c>
      <c r="BT175" s="327" t="s">
        <v>294</v>
      </c>
      <c r="BU175" s="327" t="s">
        <v>294</v>
      </c>
      <c r="BV175" s="327" t="s">
        <v>294</v>
      </c>
      <c r="BW175" s="62" t="s">
        <v>294</v>
      </c>
      <c r="BX175" s="62" t="s">
        <v>294</v>
      </c>
      <c r="BY175" s="62" t="s">
        <v>294</v>
      </c>
      <c r="BZ175" s="62" t="s">
        <v>294</v>
      </c>
      <c r="CA175" s="62">
        <v>2.4</v>
      </c>
      <c r="CB175" s="62">
        <v>0.74</v>
      </c>
      <c r="CC175" s="62" t="s">
        <v>294</v>
      </c>
      <c r="CD175" s="62">
        <v>0.16</v>
      </c>
      <c r="CE175" s="62">
        <v>0.47</v>
      </c>
      <c r="CF175" s="62">
        <v>5.0999999999999996</v>
      </c>
      <c r="CG175" s="62" t="s">
        <v>294</v>
      </c>
      <c r="CH175" s="62" t="s">
        <v>294</v>
      </c>
      <c r="CI175" s="62">
        <v>23</v>
      </c>
      <c r="CJ175" s="62" t="s">
        <v>254</v>
      </c>
      <c r="CK175" s="62" t="s">
        <v>294</v>
      </c>
      <c r="CL175" s="62">
        <v>13</v>
      </c>
      <c r="CM175" s="62" t="s">
        <v>294</v>
      </c>
      <c r="CN175" s="62" t="s">
        <v>288</v>
      </c>
      <c r="CO175" s="62">
        <v>9.6999999999999993</v>
      </c>
      <c r="CP175" s="62">
        <v>3.1</v>
      </c>
      <c r="CQ175" s="62" t="s">
        <v>254</v>
      </c>
      <c r="CR175" s="62" t="s">
        <v>254</v>
      </c>
      <c r="CS175" s="62" t="s">
        <v>294</v>
      </c>
      <c r="CT175" s="62" t="s">
        <v>284</v>
      </c>
      <c r="CU175" s="62" t="s">
        <v>294</v>
      </c>
      <c r="CV175" s="62" t="s">
        <v>294</v>
      </c>
      <c r="CW175" s="62" t="s">
        <v>294</v>
      </c>
      <c r="CX175" s="62" t="s">
        <v>294</v>
      </c>
      <c r="CY175" s="62" t="s">
        <v>294</v>
      </c>
      <c r="CZ175" s="62" t="s">
        <v>294</v>
      </c>
      <c r="DA175" s="62" t="s">
        <v>294</v>
      </c>
      <c r="DB175" s="62" t="s">
        <v>294</v>
      </c>
      <c r="DC175" s="62" t="s">
        <v>294</v>
      </c>
      <c r="DD175" s="62" t="s">
        <v>294</v>
      </c>
      <c r="DE175" s="62" t="s">
        <v>294</v>
      </c>
      <c r="DF175" s="62" t="s">
        <v>294</v>
      </c>
      <c r="DG175" s="62" t="s">
        <v>294</v>
      </c>
      <c r="DH175" s="62" t="s">
        <v>294</v>
      </c>
      <c r="DI175" s="62" t="s">
        <v>294</v>
      </c>
      <c r="DJ175" s="62" t="s">
        <v>294</v>
      </c>
      <c r="DK175" s="62" t="s">
        <v>294</v>
      </c>
      <c r="DL175" s="62" t="s">
        <v>294</v>
      </c>
      <c r="DM175" s="62" t="s">
        <v>294</v>
      </c>
      <c r="DN175" s="328" t="s">
        <v>294</v>
      </c>
      <c r="DO175" s="328" t="s">
        <v>294</v>
      </c>
      <c r="DP175" s="328" t="s">
        <v>294</v>
      </c>
      <c r="DQ175" s="328" t="s">
        <v>294</v>
      </c>
    </row>
    <row r="176" spans="1:121" x14ac:dyDescent="0.25">
      <c r="A176" s="62" t="s">
        <v>161</v>
      </c>
      <c r="B176" s="56" t="str">
        <f>VLOOKUP(Table3[[#This Row],[Station]], StationName, 2, FALSE)</f>
        <v>M02-052-2</v>
      </c>
      <c r="C176" s="362">
        <v>1935004</v>
      </c>
      <c r="D176" s="325">
        <v>44453.449305555558</v>
      </c>
      <c r="E176" s="326" t="s">
        <v>283</v>
      </c>
      <c r="F176" s="327">
        <v>61</v>
      </c>
      <c r="G176" s="327">
        <v>75</v>
      </c>
      <c r="H176" s="327">
        <v>57</v>
      </c>
      <c r="I176" s="327">
        <v>82</v>
      </c>
      <c r="J176" s="327">
        <v>46</v>
      </c>
      <c r="K176" s="327">
        <v>42</v>
      </c>
      <c r="L176" s="327">
        <v>41</v>
      </c>
      <c r="M176" s="327">
        <v>60</v>
      </c>
      <c r="N176" s="327">
        <v>36</v>
      </c>
      <c r="O176" s="327" t="s">
        <v>259</v>
      </c>
      <c r="P176" s="62" t="s">
        <v>259</v>
      </c>
      <c r="Q176" s="62" t="s">
        <v>259</v>
      </c>
      <c r="R176" s="62" t="s">
        <v>259</v>
      </c>
      <c r="S176" s="327" t="s">
        <v>259</v>
      </c>
      <c r="T176" s="327" t="s">
        <v>259</v>
      </c>
      <c r="U176" s="327">
        <v>1.58</v>
      </c>
      <c r="V176" s="327" t="s">
        <v>256</v>
      </c>
      <c r="W176" s="327" t="s">
        <v>256</v>
      </c>
      <c r="X176" s="327" t="s">
        <v>256</v>
      </c>
      <c r="Y176" s="327" t="s">
        <v>284</v>
      </c>
      <c r="Z176" s="327">
        <v>2.37</v>
      </c>
      <c r="AA176" s="327" t="s">
        <v>256</v>
      </c>
      <c r="AB176" s="327" t="s">
        <v>256</v>
      </c>
      <c r="AC176" s="327">
        <v>1.1299999999999999</v>
      </c>
      <c r="AD176" s="327" t="s">
        <v>256</v>
      </c>
      <c r="AE176" s="327" t="s">
        <v>256</v>
      </c>
      <c r="AF176" s="62" t="s">
        <v>256</v>
      </c>
      <c r="AG176" s="62" t="s">
        <v>256</v>
      </c>
      <c r="AH176" s="62" t="s">
        <v>256</v>
      </c>
      <c r="AI176" s="327">
        <v>1.88</v>
      </c>
      <c r="AJ176" s="327" t="s">
        <v>248</v>
      </c>
      <c r="AK176" s="327" t="s">
        <v>259</v>
      </c>
      <c r="AL176" s="327" t="s">
        <v>259</v>
      </c>
      <c r="AM176" s="327" t="s">
        <v>251</v>
      </c>
      <c r="AN176" s="327" t="s">
        <v>256</v>
      </c>
      <c r="AO176" s="327" t="s">
        <v>259</v>
      </c>
      <c r="AP176" s="62" t="s">
        <v>251</v>
      </c>
      <c r="AQ176" s="62" t="s">
        <v>256</v>
      </c>
      <c r="AR176" s="62" t="s">
        <v>256</v>
      </c>
      <c r="AS176" s="62" t="s">
        <v>285</v>
      </c>
      <c r="AT176" s="62" t="s">
        <v>259</v>
      </c>
      <c r="AU176" s="327" t="s">
        <v>284</v>
      </c>
      <c r="AV176" s="327" t="s">
        <v>259</v>
      </c>
      <c r="AW176" s="62" t="s">
        <v>256</v>
      </c>
      <c r="AX176" s="62" t="s">
        <v>256</v>
      </c>
      <c r="AY176" s="62" t="s">
        <v>256</v>
      </c>
      <c r="AZ176" s="62" t="s">
        <v>256</v>
      </c>
      <c r="BA176" s="62" t="s">
        <v>256</v>
      </c>
      <c r="BB176" s="62" t="s">
        <v>259</v>
      </c>
      <c r="BC176" s="62" t="s">
        <v>286</v>
      </c>
      <c r="BD176" s="62" t="s">
        <v>248</v>
      </c>
      <c r="BE176" s="62" t="s">
        <v>259</v>
      </c>
      <c r="BF176" s="62" t="s">
        <v>248</v>
      </c>
      <c r="BG176" s="327">
        <v>1.77</v>
      </c>
      <c r="BH176" s="327" t="s">
        <v>256</v>
      </c>
      <c r="BI176" s="327" t="s">
        <v>256</v>
      </c>
      <c r="BJ176" s="62" t="s">
        <v>256</v>
      </c>
      <c r="BK176" s="327" t="s">
        <v>256</v>
      </c>
      <c r="BL176" s="327" t="s">
        <v>256</v>
      </c>
      <c r="BM176" s="327" t="s">
        <v>259</v>
      </c>
      <c r="BN176" s="62" t="s">
        <v>256</v>
      </c>
      <c r="BO176" s="62" t="s">
        <v>259</v>
      </c>
      <c r="BP176" s="62" t="s">
        <v>284</v>
      </c>
      <c r="BQ176" s="62" t="s">
        <v>256</v>
      </c>
      <c r="BR176" s="327">
        <v>4.29</v>
      </c>
      <c r="BS176" s="327">
        <v>1.3</v>
      </c>
      <c r="BT176" s="327" t="s">
        <v>284</v>
      </c>
      <c r="BU176" s="327">
        <v>2.54</v>
      </c>
      <c r="BV176" s="327" t="s">
        <v>248</v>
      </c>
      <c r="BW176" s="62" t="s">
        <v>285</v>
      </c>
      <c r="BX176" s="62" t="s">
        <v>287</v>
      </c>
      <c r="BY176" s="62" t="s">
        <v>259</v>
      </c>
      <c r="BZ176" s="62" t="s">
        <v>259</v>
      </c>
      <c r="CA176" s="62">
        <v>2.7</v>
      </c>
      <c r="CB176" s="62">
        <v>6.2</v>
      </c>
      <c r="CC176" s="62">
        <v>259</v>
      </c>
      <c r="CD176" s="62" t="s">
        <v>230</v>
      </c>
      <c r="CE176" s="62">
        <v>1.6</v>
      </c>
      <c r="CF176" s="62">
        <v>5.0999999999999996</v>
      </c>
      <c r="CG176" s="62">
        <v>13</v>
      </c>
      <c r="CH176" s="62">
        <v>1240</v>
      </c>
      <c r="CI176" s="62">
        <v>920</v>
      </c>
      <c r="CJ176" s="62">
        <v>0.36</v>
      </c>
      <c r="CK176" s="62">
        <v>145</v>
      </c>
      <c r="CL176" s="62">
        <v>470</v>
      </c>
      <c r="CM176" s="62" t="s">
        <v>288</v>
      </c>
      <c r="CN176" s="62" t="s">
        <v>288</v>
      </c>
      <c r="CO176" s="62">
        <v>62</v>
      </c>
      <c r="CP176" s="62">
        <v>6.6</v>
      </c>
      <c r="CQ176" s="62" t="s">
        <v>254</v>
      </c>
      <c r="CR176" s="62" t="s">
        <v>254</v>
      </c>
      <c r="CS176" s="62">
        <v>14</v>
      </c>
      <c r="CT176" s="62">
        <v>33</v>
      </c>
      <c r="CU176" s="62">
        <v>0.34</v>
      </c>
      <c r="CV176" s="62">
        <v>510</v>
      </c>
      <c r="CW176" s="62">
        <v>4.7</v>
      </c>
      <c r="CX176" s="62">
        <v>1.9</v>
      </c>
      <c r="CY176" s="62">
        <v>0.3</v>
      </c>
      <c r="CZ176" s="62">
        <v>7.63</v>
      </c>
      <c r="DA176" s="62">
        <v>1.3</v>
      </c>
      <c r="DB176" s="62">
        <v>4800</v>
      </c>
      <c r="DC176" s="62">
        <v>1400</v>
      </c>
      <c r="DD176" s="62">
        <v>23.4</v>
      </c>
      <c r="DE176" s="62">
        <v>2900</v>
      </c>
      <c r="DF176" s="62">
        <v>6.3</v>
      </c>
      <c r="DG176" s="62">
        <v>31</v>
      </c>
      <c r="DH176" s="62">
        <v>2.5</v>
      </c>
      <c r="DI176" s="62">
        <v>3500</v>
      </c>
      <c r="DJ176" s="62">
        <v>760</v>
      </c>
      <c r="DK176" s="62">
        <v>2100</v>
      </c>
      <c r="DL176" s="62" t="s">
        <v>375</v>
      </c>
      <c r="DM176" s="62">
        <v>7.47</v>
      </c>
      <c r="DN176" s="328">
        <v>8.1</v>
      </c>
      <c r="DO176" s="328">
        <v>3834</v>
      </c>
      <c r="DP176" s="328">
        <v>22.83</v>
      </c>
      <c r="DQ176" s="328" t="s">
        <v>294</v>
      </c>
    </row>
    <row r="177" spans="1:121" hidden="1" x14ac:dyDescent="0.25">
      <c r="A177" s="62" t="s">
        <v>161</v>
      </c>
      <c r="B177" s="56" t="str">
        <f>VLOOKUP(Table3[[#This Row],[Station]], StationName, 2, FALSE)</f>
        <v>M02-052-2</v>
      </c>
      <c r="C177" s="362">
        <v>1935010</v>
      </c>
      <c r="D177" s="325">
        <v>44453.449305555558</v>
      </c>
      <c r="E177" s="326" t="s">
        <v>293</v>
      </c>
      <c r="F177" s="327" t="s">
        <v>294</v>
      </c>
      <c r="G177" s="327" t="s">
        <v>294</v>
      </c>
      <c r="H177" s="327" t="s">
        <v>294</v>
      </c>
      <c r="I177" s="327" t="s">
        <v>294</v>
      </c>
      <c r="J177" s="327" t="s">
        <v>294</v>
      </c>
      <c r="K177" s="327" t="s">
        <v>294</v>
      </c>
      <c r="L177" s="327" t="s">
        <v>294</v>
      </c>
      <c r="M177" s="327" t="s">
        <v>294</v>
      </c>
      <c r="N177" s="327" t="s">
        <v>294</v>
      </c>
      <c r="O177" s="327" t="s">
        <v>294</v>
      </c>
      <c r="P177" s="62" t="s">
        <v>294</v>
      </c>
      <c r="Q177" s="62" t="s">
        <v>294</v>
      </c>
      <c r="R177" s="62" t="s">
        <v>294</v>
      </c>
      <c r="S177" s="327" t="s">
        <v>294</v>
      </c>
      <c r="T177" s="327" t="s">
        <v>294</v>
      </c>
      <c r="U177" s="327" t="s">
        <v>294</v>
      </c>
      <c r="V177" s="327" t="s">
        <v>294</v>
      </c>
      <c r="W177" s="327" t="s">
        <v>294</v>
      </c>
      <c r="X177" s="327" t="s">
        <v>294</v>
      </c>
      <c r="Y177" s="327" t="s">
        <v>294</v>
      </c>
      <c r="Z177" s="327" t="s">
        <v>294</v>
      </c>
      <c r="AA177" s="327" t="s">
        <v>294</v>
      </c>
      <c r="AB177" s="327" t="s">
        <v>294</v>
      </c>
      <c r="AC177" s="327" t="s">
        <v>294</v>
      </c>
      <c r="AD177" s="327" t="s">
        <v>294</v>
      </c>
      <c r="AE177" s="327" t="s">
        <v>294</v>
      </c>
      <c r="AF177" s="62" t="s">
        <v>294</v>
      </c>
      <c r="AG177" s="62" t="s">
        <v>294</v>
      </c>
      <c r="AH177" s="62" t="s">
        <v>294</v>
      </c>
      <c r="AI177" s="327" t="s">
        <v>294</v>
      </c>
      <c r="AJ177" s="327" t="s">
        <v>294</v>
      </c>
      <c r="AK177" s="327" t="s">
        <v>294</v>
      </c>
      <c r="AL177" s="327" t="s">
        <v>294</v>
      </c>
      <c r="AM177" s="327" t="s">
        <v>294</v>
      </c>
      <c r="AN177" s="327" t="s">
        <v>294</v>
      </c>
      <c r="AO177" s="327" t="s">
        <v>294</v>
      </c>
      <c r="AP177" s="62" t="s">
        <v>294</v>
      </c>
      <c r="AQ177" s="62" t="s">
        <v>294</v>
      </c>
      <c r="AR177" s="62" t="s">
        <v>294</v>
      </c>
      <c r="AS177" s="62" t="s">
        <v>294</v>
      </c>
      <c r="AT177" s="62" t="s">
        <v>294</v>
      </c>
      <c r="AU177" s="327" t="s">
        <v>294</v>
      </c>
      <c r="AV177" s="327" t="s">
        <v>294</v>
      </c>
      <c r="AW177" s="62" t="s">
        <v>294</v>
      </c>
      <c r="AX177" s="62" t="s">
        <v>294</v>
      </c>
      <c r="AY177" s="62" t="s">
        <v>294</v>
      </c>
      <c r="AZ177" s="62" t="s">
        <v>294</v>
      </c>
      <c r="BA177" s="62" t="s">
        <v>294</v>
      </c>
      <c r="BB177" s="62" t="s">
        <v>294</v>
      </c>
      <c r="BC177" s="62" t="s">
        <v>294</v>
      </c>
      <c r="BD177" s="62" t="s">
        <v>294</v>
      </c>
      <c r="BE177" s="62" t="s">
        <v>294</v>
      </c>
      <c r="BF177" s="62" t="s">
        <v>294</v>
      </c>
      <c r="BG177" s="327" t="s">
        <v>294</v>
      </c>
      <c r="BH177" s="327" t="s">
        <v>294</v>
      </c>
      <c r="BI177" s="327" t="s">
        <v>294</v>
      </c>
      <c r="BJ177" s="62" t="s">
        <v>294</v>
      </c>
      <c r="BK177" s="327" t="s">
        <v>294</v>
      </c>
      <c r="BL177" s="327" t="s">
        <v>294</v>
      </c>
      <c r="BM177" s="327" t="s">
        <v>294</v>
      </c>
      <c r="BN177" s="62" t="s">
        <v>294</v>
      </c>
      <c r="BO177" s="62" t="s">
        <v>294</v>
      </c>
      <c r="BP177" s="62" t="s">
        <v>294</v>
      </c>
      <c r="BQ177" s="62" t="s">
        <v>294</v>
      </c>
      <c r="BR177" s="327" t="s">
        <v>294</v>
      </c>
      <c r="BS177" s="327" t="s">
        <v>294</v>
      </c>
      <c r="BT177" s="327" t="s">
        <v>294</v>
      </c>
      <c r="BU177" s="327" t="s">
        <v>294</v>
      </c>
      <c r="BV177" s="327" t="s">
        <v>294</v>
      </c>
      <c r="BW177" s="62" t="s">
        <v>294</v>
      </c>
      <c r="BX177" s="62" t="s">
        <v>294</v>
      </c>
      <c r="BY177" s="62" t="s">
        <v>294</v>
      </c>
      <c r="BZ177" s="62" t="s">
        <v>294</v>
      </c>
      <c r="CA177" s="62">
        <v>2.2999999999999998</v>
      </c>
      <c r="CB177" s="62">
        <v>1.6</v>
      </c>
      <c r="CC177" s="62" t="s">
        <v>294</v>
      </c>
      <c r="CD177" s="62" t="s">
        <v>230</v>
      </c>
      <c r="CE177" s="62">
        <v>0.34</v>
      </c>
      <c r="CF177" s="62">
        <v>2.7</v>
      </c>
      <c r="CG177" s="62" t="s">
        <v>294</v>
      </c>
      <c r="CH177" s="62" t="s">
        <v>294</v>
      </c>
      <c r="CI177" s="62">
        <v>30</v>
      </c>
      <c r="CJ177" s="62" t="s">
        <v>254</v>
      </c>
      <c r="CK177" s="62" t="s">
        <v>294</v>
      </c>
      <c r="CL177" s="62">
        <v>390</v>
      </c>
      <c r="CM177" s="62" t="s">
        <v>294</v>
      </c>
      <c r="CN177" s="62" t="s">
        <v>288</v>
      </c>
      <c r="CO177" s="62">
        <v>56</v>
      </c>
      <c r="CP177" s="62">
        <v>6.4</v>
      </c>
      <c r="CQ177" s="62" t="s">
        <v>254</v>
      </c>
      <c r="CR177" s="62" t="s">
        <v>254</v>
      </c>
      <c r="CS177" s="62" t="s">
        <v>294</v>
      </c>
      <c r="CT177" s="62">
        <v>16</v>
      </c>
      <c r="CU177" s="62" t="s">
        <v>294</v>
      </c>
      <c r="CV177" s="62" t="s">
        <v>294</v>
      </c>
      <c r="CW177" s="62" t="s">
        <v>294</v>
      </c>
      <c r="CX177" s="62" t="s">
        <v>294</v>
      </c>
      <c r="CY177" s="62" t="s">
        <v>294</v>
      </c>
      <c r="CZ177" s="62" t="s">
        <v>294</v>
      </c>
      <c r="DA177" s="62" t="s">
        <v>294</v>
      </c>
      <c r="DB177" s="62" t="s">
        <v>294</v>
      </c>
      <c r="DC177" s="62" t="s">
        <v>294</v>
      </c>
      <c r="DD177" s="62" t="s">
        <v>294</v>
      </c>
      <c r="DE177" s="62" t="s">
        <v>294</v>
      </c>
      <c r="DF177" s="62" t="s">
        <v>294</v>
      </c>
      <c r="DG177" s="62" t="s">
        <v>294</v>
      </c>
      <c r="DH177" s="62" t="s">
        <v>294</v>
      </c>
      <c r="DI177" s="62" t="s">
        <v>294</v>
      </c>
      <c r="DJ177" s="62" t="s">
        <v>294</v>
      </c>
      <c r="DK177" s="62" t="s">
        <v>294</v>
      </c>
      <c r="DL177" s="62" t="s">
        <v>294</v>
      </c>
      <c r="DM177" s="62" t="s">
        <v>294</v>
      </c>
      <c r="DN177" s="328" t="s">
        <v>294</v>
      </c>
      <c r="DO177" s="328" t="s">
        <v>294</v>
      </c>
      <c r="DP177" s="328" t="s">
        <v>294</v>
      </c>
      <c r="DQ177" s="328" t="s">
        <v>294</v>
      </c>
    </row>
    <row r="178" spans="1:121" x14ac:dyDescent="0.25">
      <c r="A178" s="62" t="s">
        <v>308</v>
      </c>
      <c r="B178" s="56" t="str">
        <f>VLOOKUP(Table3[[#This Row],[Station]], StationName, 2, FALSE)</f>
        <v>J01-9131-1 (J01P28)</v>
      </c>
      <c r="C178" s="362">
        <v>1943001</v>
      </c>
      <c r="D178" s="325">
        <v>44455.402083333334</v>
      </c>
      <c r="E178" s="326" t="s">
        <v>283</v>
      </c>
      <c r="F178" s="327">
        <v>75</v>
      </c>
      <c r="G178" s="327">
        <v>101</v>
      </c>
      <c r="H178" s="327">
        <v>93</v>
      </c>
      <c r="I178" s="327">
        <v>78</v>
      </c>
      <c r="J178" s="327">
        <v>57</v>
      </c>
      <c r="K178" s="327">
        <v>67</v>
      </c>
      <c r="L178" s="327">
        <v>82</v>
      </c>
      <c r="M178" s="327">
        <v>89</v>
      </c>
      <c r="N178" s="327">
        <v>62</v>
      </c>
      <c r="O178" s="327" t="s">
        <v>259</v>
      </c>
      <c r="P178" s="62" t="s">
        <v>259</v>
      </c>
      <c r="Q178" s="62" t="s">
        <v>259</v>
      </c>
      <c r="R178" s="62" t="s">
        <v>259</v>
      </c>
      <c r="S178" s="327" t="s">
        <v>259</v>
      </c>
      <c r="T178" s="327" t="s">
        <v>259</v>
      </c>
      <c r="U178" s="327" t="s">
        <v>256</v>
      </c>
      <c r="V178" s="327" t="s">
        <v>256</v>
      </c>
      <c r="W178" s="327" t="s">
        <v>256</v>
      </c>
      <c r="X178" s="327" t="s">
        <v>256</v>
      </c>
      <c r="Y178" s="327" t="s">
        <v>284</v>
      </c>
      <c r="Z178" s="327" t="s">
        <v>256</v>
      </c>
      <c r="AA178" s="327" t="s">
        <v>256</v>
      </c>
      <c r="AB178" s="327" t="s">
        <v>256</v>
      </c>
      <c r="AC178" s="327" t="s">
        <v>256</v>
      </c>
      <c r="AD178" s="327" t="s">
        <v>256</v>
      </c>
      <c r="AE178" s="327" t="s">
        <v>256</v>
      </c>
      <c r="AF178" s="62" t="s">
        <v>256</v>
      </c>
      <c r="AG178" s="62" t="s">
        <v>256</v>
      </c>
      <c r="AH178" s="62" t="s">
        <v>256</v>
      </c>
      <c r="AI178" s="327" t="s">
        <v>256</v>
      </c>
      <c r="AJ178" s="327" t="s">
        <v>248</v>
      </c>
      <c r="AK178" s="327" t="s">
        <v>259</v>
      </c>
      <c r="AL178" s="327" t="s">
        <v>259</v>
      </c>
      <c r="AM178" s="327" t="s">
        <v>251</v>
      </c>
      <c r="AN178" s="327" t="s">
        <v>256</v>
      </c>
      <c r="AO178" s="327" t="s">
        <v>259</v>
      </c>
      <c r="AP178" s="62" t="s">
        <v>251</v>
      </c>
      <c r="AQ178" s="62" t="s">
        <v>256</v>
      </c>
      <c r="AR178" s="62" t="s">
        <v>256</v>
      </c>
      <c r="AS178" s="62" t="s">
        <v>285</v>
      </c>
      <c r="AT178" s="62" t="s">
        <v>259</v>
      </c>
      <c r="AU178" s="327" t="s">
        <v>284</v>
      </c>
      <c r="AV178" s="327" t="s">
        <v>259</v>
      </c>
      <c r="AW178" s="62" t="s">
        <v>256</v>
      </c>
      <c r="AX178" s="62" t="s">
        <v>256</v>
      </c>
      <c r="AY178" s="62" t="s">
        <v>256</v>
      </c>
      <c r="AZ178" s="62" t="s">
        <v>256</v>
      </c>
      <c r="BA178" s="62" t="s">
        <v>256</v>
      </c>
      <c r="BB178" s="62" t="s">
        <v>259</v>
      </c>
      <c r="BC178" s="62" t="s">
        <v>286</v>
      </c>
      <c r="BD178" s="62" t="s">
        <v>248</v>
      </c>
      <c r="BE178" s="62" t="s">
        <v>259</v>
      </c>
      <c r="BF178" s="62" t="s">
        <v>248</v>
      </c>
      <c r="BG178" s="327" t="s">
        <v>256</v>
      </c>
      <c r="BH178" s="327" t="s">
        <v>256</v>
      </c>
      <c r="BI178" s="327" t="s">
        <v>256</v>
      </c>
      <c r="BJ178" s="62" t="s">
        <v>256</v>
      </c>
      <c r="BK178" s="327" t="s">
        <v>256</v>
      </c>
      <c r="BL178" s="327" t="s">
        <v>256</v>
      </c>
      <c r="BM178" s="327" t="s">
        <v>259</v>
      </c>
      <c r="BN178" s="62" t="s">
        <v>256</v>
      </c>
      <c r="BO178" s="62" t="s">
        <v>259</v>
      </c>
      <c r="BP178" s="62" t="s">
        <v>284</v>
      </c>
      <c r="BQ178" s="62" t="s">
        <v>256</v>
      </c>
      <c r="BR178" s="327" t="s">
        <v>256</v>
      </c>
      <c r="BS178" s="327" t="s">
        <v>256</v>
      </c>
      <c r="BT178" s="327" t="s">
        <v>284</v>
      </c>
      <c r="BU178" s="327" t="s">
        <v>256</v>
      </c>
      <c r="BV178" s="327" t="s">
        <v>248</v>
      </c>
      <c r="BW178" s="62" t="s">
        <v>285</v>
      </c>
      <c r="BX178" s="62" t="s">
        <v>287</v>
      </c>
      <c r="BY178" s="62" t="s">
        <v>259</v>
      </c>
      <c r="BZ178" s="62" t="s">
        <v>259</v>
      </c>
      <c r="CA178" s="62">
        <v>11</v>
      </c>
      <c r="CB178" s="62">
        <v>1.1000000000000001</v>
      </c>
      <c r="CC178" s="62">
        <v>162</v>
      </c>
      <c r="CD178" s="62">
        <v>0.39</v>
      </c>
      <c r="CE178" s="62">
        <v>0.95</v>
      </c>
      <c r="CF178" s="62">
        <v>8.8000000000000007</v>
      </c>
      <c r="CG178" s="62">
        <v>13</v>
      </c>
      <c r="CH178" s="62">
        <v>645</v>
      </c>
      <c r="CI178" s="62">
        <v>190</v>
      </c>
      <c r="CJ178" s="62" t="s">
        <v>254</v>
      </c>
      <c r="CK178" s="62">
        <v>58.3</v>
      </c>
      <c r="CL178" s="62">
        <v>9.5</v>
      </c>
      <c r="CM178" s="62">
        <v>5.6000000000000001E-2</v>
      </c>
      <c r="CN178" s="62" t="s">
        <v>288</v>
      </c>
      <c r="CO178" s="62">
        <v>12</v>
      </c>
      <c r="CP178" s="62">
        <v>5.0999999999999996</v>
      </c>
      <c r="CQ178" s="62" t="s">
        <v>254</v>
      </c>
      <c r="CR178" s="62" t="s">
        <v>254</v>
      </c>
      <c r="CS178" s="62">
        <v>12</v>
      </c>
      <c r="CT178" s="62">
        <v>23</v>
      </c>
      <c r="CU178" s="62" t="s">
        <v>153</v>
      </c>
      <c r="CV178" s="62">
        <v>370</v>
      </c>
      <c r="CW178" s="62">
        <v>17</v>
      </c>
      <c r="CX178" s="62">
        <v>6.7</v>
      </c>
      <c r="CY178" s="62">
        <v>0.44</v>
      </c>
      <c r="CZ178" s="62">
        <v>8.14</v>
      </c>
      <c r="DA178" s="62">
        <v>1.6</v>
      </c>
      <c r="DB178" s="62">
        <v>3100</v>
      </c>
      <c r="DC178" s="62">
        <v>440</v>
      </c>
      <c r="DD178" s="62">
        <v>16.8</v>
      </c>
      <c r="DE178" s="62">
        <v>1600</v>
      </c>
      <c r="DF178" s="62" t="s">
        <v>289</v>
      </c>
      <c r="DG178" s="62">
        <v>5</v>
      </c>
      <c r="DH178" s="62">
        <v>3.5</v>
      </c>
      <c r="DI178" s="62">
        <v>9000</v>
      </c>
      <c r="DJ178" s="62">
        <v>6100</v>
      </c>
      <c r="DK178" s="62">
        <v>7300</v>
      </c>
      <c r="DL178" s="62" t="s">
        <v>435</v>
      </c>
      <c r="DM178" s="62">
        <v>9.9</v>
      </c>
      <c r="DN178" s="328">
        <v>8.52</v>
      </c>
      <c r="DO178" s="328">
        <v>2361</v>
      </c>
      <c r="DP178" s="328">
        <v>20.66</v>
      </c>
      <c r="DQ178" s="328">
        <v>3.48</v>
      </c>
    </row>
    <row r="179" spans="1:121" hidden="1" x14ac:dyDescent="0.25">
      <c r="A179" s="62" t="s">
        <v>308</v>
      </c>
      <c r="B179" s="56" t="str">
        <f>VLOOKUP(Table3[[#This Row],[Station]], StationName, 2, FALSE)</f>
        <v>J01-9131-1 (J01P28)</v>
      </c>
      <c r="C179" s="362">
        <v>1943002</v>
      </c>
      <c r="D179" s="325">
        <v>44455.402083333334</v>
      </c>
      <c r="E179" s="326" t="s">
        <v>293</v>
      </c>
      <c r="F179" s="327" t="s">
        <v>294</v>
      </c>
      <c r="G179" s="327" t="s">
        <v>294</v>
      </c>
      <c r="H179" s="327" t="s">
        <v>294</v>
      </c>
      <c r="I179" s="327" t="s">
        <v>294</v>
      </c>
      <c r="J179" s="327" t="s">
        <v>294</v>
      </c>
      <c r="K179" s="327" t="s">
        <v>294</v>
      </c>
      <c r="L179" s="327" t="s">
        <v>294</v>
      </c>
      <c r="M179" s="327" t="s">
        <v>294</v>
      </c>
      <c r="N179" s="327" t="s">
        <v>294</v>
      </c>
      <c r="O179" s="327" t="s">
        <v>294</v>
      </c>
      <c r="P179" s="62" t="s">
        <v>294</v>
      </c>
      <c r="Q179" s="62" t="s">
        <v>294</v>
      </c>
      <c r="R179" s="62" t="s">
        <v>294</v>
      </c>
      <c r="S179" s="327" t="s">
        <v>294</v>
      </c>
      <c r="T179" s="327" t="s">
        <v>294</v>
      </c>
      <c r="U179" s="327" t="s">
        <v>294</v>
      </c>
      <c r="V179" s="327" t="s">
        <v>294</v>
      </c>
      <c r="W179" s="327" t="s">
        <v>294</v>
      </c>
      <c r="X179" s="327" t="s">
        <v>294</v>
      </c>
      <c r="Y179" s="327" t="s">
        <v>294</v>
      </c>
      <c r="Z179" s="327" t="s">
        <v>294</v>
      </c>
      <c r="AA179" s="327" t="s">
        <v>294</v>
      </c>
      <c r="AB179" s="327" t="s">
        <v>294</v>
      </c>
      <c r="AC179" s="327" t="s">
        <v>294</v>
      </c>
      <c r="AD179" s="327" t="s">
        <v>294</v>
      </c>
      <c r="AE179" s="327" t="s">
        <v>294</v>
      </c>
      <c r="AF179" s="62" t="s">
        <v>294</v>
      </c>
      <c r="AG179" s="62" t="s">
        <v>294</v>
      </c>
      <c r="AH179" s="62" t="s">
        <v>294</v>
      </c>
      <c r="AI179" s="327" t="s">
        <v>294</v>
      </c>
      <c r="AJ179" s="327" t="s">
        <v>294</v>
      </c>
      <c r="AK179" s="327" t="s">
        <v>294</v>
      </c>
      <c r="AL179" s="327" t="s">
        <v>294</v>
      </c>
      <c r="AM179" s="327" t="s">
        <v>294</v>
      </c>
      <c r="AN179" s="327" t="s">
        <v>294</v>
      </c>
      <c r="AO179" s="327" t="s">
        <v>294</v>
      </c>
      <c r="AP179" s="62" t="s">
        <v>294</v>
      </c>
      <c r="AQ179" s="62" t="s">
        <v>294</v>
      </c>
      <c r="AR179" s="62" t="s">
        <v>294</v>
      </c>
      <c r="AS179" s="62" t="s">
        <v>294</v>
      </c>
      <c r="AT179" s="62" t="s">
        <v>294</v>
      </c>
      <c r="AU179" s="327" t="s">
        <v>294</v>
      </c>
      <c r="AV179" s="327" t="s">
        <v>294</v>
      </c>
      <c r="AW179" s="62" t="s">
        <v>294</v>
      </c>
      <c r="AX179" s="62" t="s">
        <v>294</v>
      </c>
      <c r="AY179" s="62" t="s">
        <v>294</v>
      </c>
      <c r="AZ179" s="62" t="s">
        <v>294</v>
      </c>
      <c r="BA179" s="62" t="s">
        <v>294</v>
      </c>
      <c r="BB179" s="62" t="s">
        <v>294</v>
      </c>
      <c r="BC179" s="62" t="s">
        <v>294</v>
      </c>
      <c r="BD179" s="62" t="s">
        <v>294</v>
      </c>
      <c r="BE179" s="62" t="s">
        <v>294</v>
      </c>
      <c r="BF179" s="62" t="s">
        <v>294</v>
      </c>
      <c r="BG179" s="327" t="s">
        <v>294</v>
      </c>
      <c r="BH179" s="327" t="s">
        <v>294</v>
      </c>
      <c r="BI179" s="327" t="s">
        <v>294</v>
      </c>
      <c r="BJ179" s="62" t="s">
        <v>294</v>
      </c>
      <c r="BK179" s="327" t="s">
        <v>294</v>
      </c>
      <c r="BL179" s="327" t="s">
        <v>294</v>
      </c>
      <c r="BM179" s="327" t="s">
        <v>294</v>
      </c>
      <c r="BN179" s="62" t="s">
        <v>294</v>
      </c>
      <c r="BO179" s="62" t="s">
        <v>294</v>
      </c>
      <c r="BP179" s="62" t="s">
        <v>294</v>
      </c>
      <c r="BQ179" s="62" t="s">
        <v>294</v>
      </c>
      <c r="BR179" s="327" t="s">
        <v>294</v>
      </c>
      <c r="BS179" s="327" t="s">
        <v>294</v>
      </c>
      <c r="BT179" s="327" t="s">
        <v>294</v>
      </c>
      <c r="BU179" s="327" t="s">
        <v>294</v>
      </c>
      <c r="BV179" s="327" t="s">
        <v>294</v>
      </c>
      <c r="BW179" s="62" t="s">
        <v>294</v>
      </c>
      <c r="BX179" s="62" t="s">
        <v>294</v>
      </c>
      <c r="BY179" s="62" t="s">
        <v>294</v>
      </c>
      <c r="BZ179" s="62" t="s">
        <v>294</v>
      </c>
      <c r="CA179" s="62">
        <v>11</v>
      </c>
      <c r="CB179" s="62">
        <v>1.1000000000000001</v>
      </c>
      <c r="CC179" s="62" t="s">
        <v>294</v>
      </c>
      <c r="CD179" s="62">
        <v>0.35</v>
      </c>
      <c r="CE179" s="62">
        <v>0.54</v>
      </c>
      <c r="CF179" s="62">
        <v>7.9</v>
      </c>
      <c r="CG179" s="62" t="s">
        <v>294</v>
      </c>
      <c r="CH179" s="62" t="s">
        <v>294</v>
      </c>
      <c r="CI179" s="62">
        <v>20</v>
      </c>
      <c r="CJ179" s="62" t="s">
        <v>254</v>
      </c>
      <c r="CK179" s="62" t="s">
        <v>294</v>
      </c>
      <c r="CL179" s="62">
        <v>5.7</v>
      </c>
      <c r="CM179" s="62" t="s">
        <v>294</v>
      </c>
      <c r="CN179" s="62" t="s">
        <v>288</v>
      </c>
      <c r="CO179" s="62">
        <v>12</v>
      </c>
      <c r="CP179" s="62">
        <v>5.0999999999999996</v>
      </c>
      <c r="CQ179" s="62" t="s">
        <v>254</v>
      </c>
      <c r="CR179" s="62" t="s">
        <v>254</v>
      </c>
      <c r="CS179" s="62" t="s">
        <v>294</v>
      </c>
      <c r="CT179" s="62">
        <v>19</v>
      </c>
      <c r="CU179" s="62" t="s">
        <v>294</v>
      </c>
      <c r="CV179" s="62" t="s">
        <v>294</v>
      </c>
      <c r="CW179" s="62" t="s">
        <v>294</v>
      </c>
      <c r="CX179" s="62" t="s">
        <v>294</v>
      </c>
      <c r="CY179" s="62" t="s">
        <v>294</v>
      </c>
      <c r="CZ179" s="62" t="s">
        <v>294</v>
      </c>
      <c r="DA179" s="62" t="s">
        <v>294</v>
      </c>
      <c r="DB179" s="62" t="s">
        <v>294</v>
      </c>
      <c r="DC179" s="62" t="s">
        <v>294</v>
      </c>
      <c r="DD179" s="62" t="s">
        <v>294</v>
      </c>
      <c r="DE179" s="62" t="s">
        <v>294</v>
      </c>
      <c r="DF179" s="62" t="s">
        <v>294</v>
      </c>
      <c r="DG179" s="62" t="s">
        <v>294</v>
      </c>
      <c r="DH179" s="62" t="s">
        <v>294</v>
      </c>
      <c r="DI179" s="62" t="s">
        <v>294</v>
      </c>
      <c r="DJ179" s="62" t="s">
        <v>294</v>
      </c>
      <c r="DK179" s="62" t="s">
        <v>294</v>
      </c>
      <c r="DL179" s="62" t="s">
        <v>294</v>
      </c>
      <c r="DM179" s="62" t="s">
        <v>294</v>
      </c>
      <c r="DN179" s="328" t="s">
        <v>294</v>
      </c>
      <c r="DO179" s="328" t="s">
        <v>294</v>
      </c>
      <c r="DP179" s="328" t="s">
        <v>294</v>
      </c>
      <c r="DQ179" s="328" t="s">
        <v>294</v>
      </c>
    </row>
  </sheetData>
  <phoneticPr fontId="6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F99A8-439C-4386-8708-A8308951B6B4}">
  <dimension ref="A1:H248"/>
  <sheetViews>
    <sheetView topLeftCell="A7" workbookViewId="0">
      <selection activeCell="E16" sqref="E16"/>
    </sheetView>
  </sheetViews>
  <sheetFormatPr defaultRowHeight="15" x14ac:dyDescent="0.25"/>
  <cols>
    <col min="3" max="3" width="17.140625" customWidth="1"/>
    <col min="5" max="5" width="16.85546875" style="249" customWidth="1"/>
    <col min="6" max="6" width="9.140625" style="245"/>
    <col min="7" max="7" width="45" customWidth="1"/>
    <col min="8" max="8" width="97.140625" customWidth="1"/>
  </cols>
  <sheetData>
    <row r="1" spans="1:8" x14ac:dyDescent="0.25">
      <c r="A1" s="241" t="s">
        <v>436</v>
      </c>
      <c r="B1" s="241" t="s">
        <v>437</v>
      </c>
      <c r="C1" s="241" t="s">
        <v>438</v>
      </c>
      <c r="D1" s="241" t="s">
        <v>273</v>
      </c>
      <c r="E1" s="246" t="s">
        <v>274</v>
      </c>
      <c r="F1" s="242" t="s">
        <v>439</v>
      </c>
      <c r="G1" s="241" t="s">
        <v>440</v>
      </c>
      <c r="H1" s="241" t="s">
        <v>441</v>
      </c>
    </row>
    <row r="2" spans="1:8" x14ac:dyDescent="0.25">
      <c r="A2" s="240" t="s">
        <v>442</v>
      </c>
      <c r="B2" s="240" t="s">
        <v>443</v>
      </c>
      <c r="C2" s="240" t="s">
        <v>444</v>
      </c>
      <c r="D2" s="240">
        <v>1913007</v>
      </c>
      <c r="E2" s="247">
        <v>44440.5</v>
      </c>
      <c r="F2" s="243" t="s">
        <v>445</v>
      </c>
      <c r="G2" s="240" t="s">
        <v>446</v>
      </c>
      <c r="H2" s="240" t="s">
        <v>447</v>
      </c>
    </row>
    <row r="3" spans="1:8" x14ac:dyDescent="0.25">
      <c r="A3" s="240" t="s">
        <v>442</v>
      </c>
      <c r="B3" s="240" t="s">
        <v>443</v>
      </c>
      <c r="C3" s="240" t="s">
        <v>308</v>
      </c>
      <c r="D3" s="240">
        <v>1922002</v>
      </c>
      <c r="E3" s="247">
        <v>44446.420138888891</v>
      </c>
      <c r="F3" s="243" t="s">
        <v>448</v>
      </c>
      <c r="G3" s="240" t="s">
        <v>446</v>
      </c>
      <c r="H3" s="240" t="s">
        <v>449</v>
      </c>
    </row>
    <row r="4" spans="1:8" x14ac:dyDescent="0.25">
      <c r="A4" s="240" t="s">
        <v>442</v>
      </c>
      <c r="B4" s="240" t="s">
        <v>443</v>
      </c>
      <c r="C4" s="240" t="s">
        <v>308</v>
      </c>
      <c r="D4" s="240">
        <v>1922006</v>
      </c>
      <c r="E4" s="247">
        <v>44446.420138888891</v>
      </c>
      <c r="F4" s="243" t="s">
        <v>448</v>
      </c>
      <c r="G4" s="240" t="s">
        <v>446</v>
      </c>
      <c r="H4" s="240" t="s">
        <v>449</v>
      </c>
    </row>
    <row r="5" spans="1:8" x14ac:dyDescent="0.25">
      <c r="A5" s="238" t="s">
        <v>442</v>
      </c>
      <c r="B5" s="238" t="s">
        <v>443</v>
      </c>
      <c r="C5" s="238" t="s">
        <v>140</v>
      </c>
      <c r="D5" s="238">
        <v>1722002</v>
      </c>
      <c r="E5" s="248">
        <v>44343.408333333333</v>
      </c>
      <c r="F5" s="244" t="s">
        <v>450</v>
      </c>
      <c r="G5" s="238" t="s">
        <v>179</v>
      </c>
      <c r="H5" s="238"/>
    </row>
    <row r="6" spans="1:8" x14ac:dyDescent="0.25">
      <c r="A6" s="240" t="s">
        <v>442</v>
      </c>
      <c r="B6" s="240" t="s">
        <v>443</v>
      </c>
      <c r="C6" s="240" t="s">
        <v>140</v>
      </c>
      <c r="D6" s="240">
        <v>1722007</v>
      </c>
      <c r="E6" s="247">
        <v>44343.408333333333</v>
      </c>
      <c r="F6" s="243" t="s">
        <v>450</v>
      </c>
      <c r="G6" s="240" t="s">
        <v>179</v>
      </c>
      <c r="H6" s="240"/>
    </row>
    <row r="7" spans="1:8" x14ac:dyDescent="0.25">
      <c r="A7" s="240" t="s">
        <v>442</v>
      </c>
      <c r="B7" s="240" t="s">
        <v>443</v>
      </c>
      <c r="C7" s="240" t="s">
        <v>141</v>
      </c>
      <c r="D7" s="240">
        <v>1722003</v>
      </c>
      <c r="E7" s="247">
        <v>44343.416666666664</v>
      </c>
      <c r="F7" s="243" t="s">
        <v>451</v>
      </c>
      <c r="G7" s="240" t="s">
        <v>179</v>
      </c>
      <c r="H7" s="240"/>
    </row>
    <row r="8" spans="1:8" x14ac:dyDescent="0.25">
      <c r="A8" s="240" t="s">
        <v>442</v>
      </c>
      <c r="B8" s="240" t="s">
        <v>443</v>
      </c>
      <c r="C8" s="240" t="s">
        <v>141</v>
      </c>
      <c r="D8" s="240">
        <v>1722008</v>
      </c>
      <c r="E8" s="247">
        <v>44343.416666666664</v>
      </c>
      <c r="F8" s="243" t="s">
        <v>451</v>
      </c>
      <c r="G8" s="240" t="s">
        <v>179</v>
      </c>
      <c r="H8" s="240"/>
    </row>
    <row r="9" spans="1:8" x14ac:dyDescent="0.25">
      <c r="A9" s="240" t="s">
        <v>442</v>
      </c>
      <c r="B9" s="240" t="s">
        <v>443</v>
      </c>
      <c r="C9" s="240" t="s">
        <v>452</v>
      </c>
      <c r="D9" s="240">
        <v>1854006</v>
      </c>
      <c r="E9" s="247">
        <v>44411.45416666667</v>
      </c>
      <c r="F9" s="243" t="s">
        <v>453</v>
      </c>
      <c r="G9" s="240" t="s">
        <v>179</v>
      </c>
      <c r="H9" s="240"/>
    </row>
    <row r="10" spans="1:8" x14ac:dyDescent="0.25">
      <c r="A10" s="240" t="s">
        <v>442</v>
      </c>
      <c r="B10" s="240" t="s">
        <v>443</v>
      </c>
      <c r="C10" s="240" t="s">
        <v>452</v>
      </c>
      <c r="D10" s="240">
        <v>1854002</v>
      </c>
      <c r="E10" s="247">
        <v>44411.45416666667</v>
      </c>
      <c r="F10" s="243" t="s">
        <v>453</v>
      </c>
      <c r="G10" s="240" t="s">
        <v>179</v>
      </c>
      <c r="H10" s="240"/>
    </row>
    <row r="11" spans="1:8" x14ac:dyDescent="0.25">
      <c r="A11" s="240" t="s">
        <v>442</v>
      </c>
      <c r="B11" s="240" t="s">
        <v>443</v>
      </c>
      <c r="C11" s="240" t="s">
        <v>454</v>
      </c>
      <c r="D11" s="240">
        <v>1858002</v>
      </c>
      <c r="E11" s="247">
        <v>44439.342361111114</v>
      </c>
      <c r="F11" s="243" t="s">
        <v>455</v>
      </c>
      <c r="G11" s="240" t="s">
        <v>179</v>
      </c>
      <c r="H11" s="240"/>
    </row>
    <row r="12" spans="1:8" x14ac:dyDescent="0.25">
      <c r="A12" s="240" t="s">
        <v>442</v>
      </c>
      <c r="B12" s="240" t="s">
        <v>443</v>
      </c>
      <c r="C12" s="240" t="s">
        <v>454</v>
      </c>
      <c r="D12" s="240">
        <v>1858001</v>
      </c>
      <c r="E12" s="247">
        <v>44439.342361111114</v>
      </c>
      <c r="F12" s="243" t="s">
        <v>455</v>
      </c>
      <c r="G12" s="240" t="s">
        <v>179</v>
      </c>
      <c r="H12" s="240"/>
    </row>
    <row r="13" spans="1:8" x14ac:dyDescent="0.25">
      <c r="A13" s="240" t="s">
        <v>442</v>
      </c>
      <c r="B13" s="240" t="s">
        <v>443</v>
      </c>
      <c r="C13" s="240" t="s">
        <v>136</v>
      </c>
      <c r="D13" s="240">
        <v>1858003</v>
      </c>
      <c r="E13" s="247">
        <v>44439.5</v>
      </c>
      <c r="F13" s="243" t="s">
        <v>445</v>
      </c>
      <c r="G13" s="240" t="s">
        <v>179</v>
      </c>
      <c r="H13" s="240"/>
    </row>
    <row r="14" spans="1:8" x14ac:dyDescent="0.25">
      <c r="A14" s="240" t="s">
        <v>442</v>
      </c>
      <c r="B14" s="240" t="s">
        <v>443</v>
      </c>
      <c r="C14" s="240" t="s">
        <v>136</v>
      </c>
      <c r="D14" s="240">
        <v>1858004</v>
      </c>
      <c r="E14" s="247">
        <v>44439.5</v>
      </c>
      <c r="F14" s="243" t="s">
        <v>445</v>
      </c>
      <c r="G14" s="240" t="s">
        <v>179</v>
      </c>
      <c r="H14" s="240"/>
    </row>
    <row r="15" spans="1:8" x14ac:dyDescent="0.25">
      <c r="A15" s="240" t="s">
        <v>442</v>
      </c>
      <c r="B15" s="240" t="s">
        <v>443</v>
      </c>
      <c r="C15" s="240" t="s">
        <v>168</v>
      </c>
      <c r="D15" s="240">
        <v>1914009</v>
      </c>
      <c r="E15" s="247">
        <v>44440.429861111108</v>
      </c>
      <c r="F15" s="243" t="s">
        <v>456</v>
      </c>
      <c r="G15" s="240" t="s">
        <v>179</v>
      </c>
      <c r="H15" s="240"/>
    </row>
    <row r="16" spans="1:8" x14ac:dyDescent="0.25">
      <c r="A16" s="240" t="s">
        <v>442</v>
      </c>
      <c r="B16" s="240" t="s">
        <v>443</v>
      </c>
      <c r="C16" s="240" t="s">
        <v>168</v>
      </c>
      <c r="D16" s="240">
        <v>1914004</v>
      </c>
      <c r="E16" s="247">
        <v>44440.429861111108</v>
      </c>
      <c r="F16" s="243" t="s">
        <v>456</v>
      </c>
      <c r="G16" s="240" t="s">
        <v>179</v>
      </c>
      <c r="H16" s="240"/>
    </row>
    <row r="17" spans="1:8" x14ac:dyDescent="0.25">
      <c r="A17" s="240" t="s">
        <v>442</v>
      </c>
      <c r="B17" s="240" t="s">
        <v>443</v>
      </c>
      <c r="C17" s="240" t="s">
        <v>141</v>
      </c>
      <c r="D17" s="240">
        <v>1920008</v>
      </c>
      <c r="E17" s="247">
        <v>44446.412499999999</v>
      </c>
      <c r="F17" s="243" t="s">
        <v>457</v>
      </c>
      <c r="G17" s="240" t="s">
        <v>179</v>
      </c>
      <c r="H17" s="240"/>
    </row>
    <row r="18" spans="1:8" x14ac:dyDescent="0.25">
      <c r="A18" s="240" t="s">
        <v>442</v>
      </c>
      <c r="B18" s="240" t="s">
        <v>443</v>
      </c>
      <c r="C18" s="240" t="s">
        <v>141</v>
      </c>
      <c r="D18" s="240">
        <v>1920003</v>
      </c>
      <c r="E18" s="247">
        <v>44446.412499999999</v>
      </c>
      <c r="F18" s="243" t="s">
        <v>457</v>
      </c>
      <c r="G18" s="240" t="s">
        <v>179</v>
      </c>
      <c r="H18" s="240"/>
    </row>
    <row r="19" spans="1:8" x14ac:dyDescent="0.25">
      <c r="A19" s="240" t="s">
        <v>442</v>
      </c>
      <c r="B19" s="240" t="s">
        <v>443</v>
      </c>
      <c r="C19" s="240" t="s">
        <v>142</v>
      </c>
      <c r="D19" s="240">
        <v>1722005</v>
      </c>
      <c r="E19" s="247">
        <v>44343.495833333334</v>
      </c>
      <c r="F19" s="243" t="s">
        <v>458</v>
      </c>
      <c r="G19" s="240" t="s">
        <v>180</v>
      </c>
      <c r="H19" s="240"/>
    </row>
    <row r="20" spans="1:8" x14ac:dyDescent="0.25">
      <c r="A20" s="240" t="s">
        <v>442</v>
      </c>
      <c r="B20" s="240" t="s">
        <v>443</v>
      </c>
      <c r="C20" s="240" t="s">
        <v>142</v>
      </c>
      <c r="D20" s="240">
        <v>1722010</v>
      </c>
      <c r="E20" s="247">
        <v>44343.495833333334</v>
      </c>
      <c r="F20" s="243" t="s">
        <v>458</v>
      </c>
      <c r="G20" s="240" t="s">
        <v>180</v>
      </c>
      <c r="H20" s="240"/>
    </row>
    <row r="21" spans="1:8" x14ac:dyDescent="0.25">
      <c r="A21" s="240" t="s">
        <v>442</v>
      </c>
      <c r="B21" s="240" t="s">
        <v>443</v>
      </c>
      <c r="C21" s="240" t="s">
        <v>137</v>
      </c>
      <c r="D21" s="240">
        <v>1920006</v>
      </c>
      <c r="E21" s="247">
        <v>44446.316666666666</v>
      </c>
      <c r="F21" s="243" t="s">
        <v>459</v>
      </c>
      <c r="G21" s="240" t="s">
        <v>180</v>
      </c>
      <c r="H21" s="240"/>
    </row>
    <row r="22" spans="1:8" x14ac:dyDescent="0.25">
      <c r="A22" s="240" t="s">
        <v>442</v>
      </c>
      <c r="B22" s="240" t="s">
        <v>443</v>
      </c>
      <c r="C22" s="240" t="s">
        <v>137</v>
      </c>
      <c r="D22" s="240">
        <v>1920001</v>
      </c>
      <c r="E22" s="247">
        <v>44446.316666666666</v>
      </c>
      <c r="F22" s="243" t="s">
        <v>459</v>
      </c>
      <c r="G22" s="240" t="s">
        <v>180</v>
      </c>
      <c r="H22" s="240"/>
    </row>
    <row r="23" spans="1:8" x14ac:dyDescent="0.25">
      <c r="A23" s="240" t="s">
        <v>442</v>
      </c>
      <c r="B23" s="240" t="s">
        <v>443</v>
      </c>
      <c r="C23" s="240" t="s">
        <v>298</v>
      </c>
      <c r="D23" s="240">
        <v>1854005</v>
      </c>
      <c r="E23" s="247">
        <v>44411.45416666667</v>
      </c>
      <c r="F23" s="243" t="s">
        <v>453</v>
      </c>
      <c r="G23" s="240" t="s">
        <v>182</v>
      </c>
      <c r="H23" s="240"/>
    </row>
    <row r="24" spans="1:8" x14ac:dyDescent="0.25">
      <c r="A24" s="240" t="s">
        <v>442</v>
      </c>
      <c r="B24" s="240" t="s">
        <v>443</v>
      </c>
      <c r="C24" s="240" t="s">
        <v>298</v>
      </c>
      <c r="D24" s="240">
        <v>1854001</v>
      </c>
      <c r="E24" s="247">
        <v>44411.45416666667</v>
      </c>
      <c r="F24" s="243" t="s">
        <v>453</v>
      </c>
      <c r="G24" s="240" t="s">
        <v>182</v>
      </c>
      <c r="H24" s="240"/>
    </row>
    <row r="25" spans="1:8" x14ac:dyDescent="0.25">
      <c r="A25" s="240" t="s">
        <v>442</v>
      </c>
      <c r="B25" s="240" t="s">
        <v>443</v>
      </c>
      <c r="C25" s="240" t="s">
        <v>167</v>
      </c>
      <c r="D25" s="240">
        <v>1727003</v>
      </c>
      <c r="E25" s="247">
        <v>44348.370833333334</v>
      </c>
      <c r="F25" s="243" t="s">
        <v>460</v>
      </c>
      <c r="G25" s="240" t="s">
        <v>183</v>
      </c>
      <c r="H25" s="240"/>
    </row>
    <row r="26" spans="1:8" x14ac:dyDescent="0.25">
      <c r="A26" s="240" t="s">
        <v>442</v>
      </c>
      <c r="B26" s="240" t="s">
        <v>443</v>
      </c>
      <c r="C26" s="240" t="s">
        <v>167</v>
      </c>
      <c r="D26" s="240">
        <v>1727008</v>
      </c>
      <c r="E26" s="247">
        <v>44348.370833333334</v>
      </c>
      <c r="F26" s="243" t="s">
        <v>460</v>
      </c>
      <c r="G26" s="240" t="s">
        <v>183</v>
      </c>
      <c r="H26" s="240"/>
    </row>
    <row r="27" spans="1:8" x14ac:dyDescent="0.25">
      <c r="A27" s="240" t="s">
        <v>442</v>
      </c>
      <c r="B27" s="240" t="s">
        <v>443</v>
      </c>
      <c r="C27" s="240" t="s">
        <v>168</v>
      </c>
      <c r="D27" s="240">
        <v>1727004</v>
      </c>
      <c r="E27" s="247">
        <v>44348.416666666664</v>
      </c>
      <c r="F27" s="243" t="s">
        <v>451</v>
      </c>
      <c r="G27" s="240" t="s">
        <v>183</v>
      </c>
      <c r="H27" s="240"/>
    </row>
    <row r="28" spans="1:8" x14ac:dyDescent="0.25">
      <c r="A28" s="240" t="s">
        <v>442</v>
      </c>
      <c r="B28" s="240" t="s">
        <v>443</v>
      </c>
      <c r="C28" s="240" t="s">
        <v>168</v>
      </c>
      <c r="D28" s="240">
        <v>1727009</v>
      </c>
      <c r="E28" s="247">
        <v>44348.416666666664</v>
      </c>
      <c r="F28" s="243" t="s">
        <v>451</v>
      </c>
      <c r="G28" s="240" t="s">
        <v>183</v>
      </c>
      <c r="H28" s="240"/>
    </row>
    <row r="29" spans="1:8" x14ac:dyDescent="0.25">
      <c r="A29" s="240" t="s">
        <v>442</v>
      </c>
      <c r="B29" s="240" t="s">
        <v>443</v>
      </c>
      <c r="C29" s="240" t="s">
        <v>461</v>
      </c>
      <c r="D29" s="240">
        <v>1743001</v>
      </c>
      <c r="E29" s="247">
        <v>44349.444444444445</v>
      </c>
      <c r="F29" s="243" t="s">
        <v>462</v>
      </c>
      <c r="G29" s="240" t="s">
        <v>183</v>
      </c>
      <c r="H29" s="240"/>
    </row>
    <row r="30" spans="1:8" x14ac:dyDescent="0.25">
      <c r="A30" s="240" t="s">
        <v>442</v>
      </c>
      <c r="B30" s="240" t="s">
        <v>443</v>
      </c>
      <c r="C30" s="240" t="s">
        <v>461</v>
      </c>
      <c r="D30" s="240">
        <v>1743003</v>
      </c>
      <c r="E30" s="247">
        <v>44349.444444444445</v>
      </c>
      <c r="F30" s="243" t="s">
        <v>462</v>
      </c>
      <c r="G30" s="240" t="s">
        <v>183</v>
      </c>
      <c r="H30" s="240"/>
    </row>
    <row r="31" spans="1:8" x14ac:dyDescent="0.25">
      <c r="A31" s="240" t="s">
        <v>442</v>
      </c>
      <c r="B31" s="240" t="s">
        <v>443</v>
      </c>
      <c r="C31" s="240" t="s">
        <v>461</v>
      </c>
      <c r="D31" s="240">
        <v>1913001</v>
      </c>
      <c r="E31" s="247">
        <v>44440.40625</v>
      </c>
      <c r="F31" s="243" t="s">
        <v>463</v>
      </c>
      <c r="G31" s="240" t="s">
        <v>183</v>
      </c>
      <c r="H31" s="240"/>
    </row>
    <row r="32" spans="1:8" x14ac:dyDescent="0.25">
      <c r="A32" s="240" t="s">
        <v>442</v>
      </c>
      <c r="B32" s="240" t="s">
        <v>443</v>
      </c>
      <c r="C32" s="240" t="s">
        <v>461</v>
      </c>
      <c r="D32" s="240">
        <v>1913003</v>
      </c>
      <c r="E32" s="247">
        <v>44440.40625</v>
      </c>
      <c r="F32" s="243" t="s">
        <v>463</v>
      </c>
      <c r="G32" s="240" t="s">
        <v>183</v>
      </c>
      <c r="H32" s="240"/>
    </row>
    <row r="33" spans="1:8" x14ac:dyDescent="0.25">
      <c r="A33" s="240" t="s">
        <v>442</v>
      </c>
      <c r="B33" s="240" t="s">
        <v>443</v>
      </c>
      <c r="C33" s="240" t="s">
        <v>167</v>
      </c>
      <c r="D33" s="240">
        <v>1914003</v>
      </c>
      <c r="E33" s="247">
        <v>44440.432638888888</v>
      </c>
      <c r="F33" s="243" t="s">
        <v>464</v>
      </c>
      <c r="G33" s="240" t="s">
        <v>183</v>
      </c>
      <c r="H33" s="240"/>
    </row>
    <row r="34" spans="1:8" x14ac:dyDescent="0.25">
      <c r="A34" s="240" t="s">
        <v>442</v>
      </c>
      <c r="B34" s="240" t="s">
        <v>443</v>
      </c>
      <c r="C34" s="240" t="s">
        <v>167</v>
      </c>
      <c r="D34" s="240">
        <v>1914008</v>
      </c>
      <c r="E34" s="247">
        <v>44440.432638888888</v>
      </c>
      <c r="F34" s="243" t="s">
        <v>464</v>
      </c>
      <c r="G34" s="240" t="s">
        <v>183</v>
      </c>
      <c r="H34" s="240"/>
    </row>
    <row r="35" spans="1:8" x14ac:dyDescent="0.25">
      <c r="A35" s="240" t="s">
        <v>442</v>
      </c>
      <c r="B35" s="240" t="s">
        <v>443</v>
      </c>
      <c r="C35" s="240" t="s">
        <v>144</v>
      </c>
      <c r="D35" s="240">
        <v>1718003</v>
      </c>
      <c r="E35" s="247">
        <v>44341.365277777775</v>
      </c>
      <c r="F35" s="243" t="s">
        <v>465</v>
      </c>
      <c r="G35" s="240"/>
      <c r="H35" s="240"/>
    </row>
    <row r="36" spans="1:8" x14ac:dyDescent="0.25">
      <c r="A36" s="240" t="s">
        <v>442</v>
      </c>
      <c r="B36" s="240" t="s">
        <v>443</v>
      </c>
      <c r="C36" s="240" t="s">
        <v>144</v>
      </c>
      <c r="D36" s="240">
        <v>1718006</v>
      </c>
      <c r="E36" s="247">
        <v>44341.365277777775</v>
      </c>
      <c r="F36" s="243" t="s">
        <v>465</v>
      </c>
      <c r="G36" s="240"/>
      <c r="H36" s="240"/>
    </row>
    <row r="37" spans="1:8" x14ac:dyDescent="0.25">
      <c r="A37" s="240" t="s">
        <v>442</v>
      </c>
      <c r="B37" s="240" t="s">
        <v>443</v>
      </c>
      <c r="C37" s="240" t="s">
        <v>295</v>
      </c>
      <c r="D37" s="240">
        <v>1717002</v>
      </c>
      <c r="E37" s="247">
        <v>44341.39166666667</v>
      </c>
      <c r="F37" s="243" t="s">
        <v>466</v>
      </c>
      <c r="G37" s="240"/>
      <c r="H37" s="240"/>
    </row>
    <row r="38" spans="1:8" x14ac:dyDescent="0.25">
      <c r="A38" s="240" t="s">
        <v>442</v>
      </c>
      <c r="B38" s="240" t="s">
        <v>443</v>
      </c>
      <c r="C38" s="240" t="s">
        <v>295</v>
      </c>
      <c r="D38" s="240">
        <v>1717006</v>
      </c>
      <c r="E38" s="247">
        <v>44341.39166666667</v>
      </c>
      <c r="F38" s="243" t="s">
        <v>466</v>
      </c>
      <c r="G38" s="240"/>
      <c r="H38" s="240"/>
    </row>
    <row r="39" spans="1:8" x14ac:dyDescent="0.25">
      <c r="A39" s="240" t="s">
        <v>442</v>
      </c>
      <c r="B39" s="240" t="s">
        <v>443</v>
      </c>
      <c r="C39" s="240" t="s">
        <v>298</v>
      </c>
      <c r="D39" s="240">
        <v>1718008</v>
      </c>
      <c r="E39" s="247">
        <v>44341.418055555558</v>
      </c>
      <c r="F39" s="243" t="s">
        <v>467</v>
      </c>
      <c r="G39" s="240"/>
      <c r="H39" s="240"/>
    </row>
    <row r="40" spans="1:8" x14ac:dyDescent="0.25">
      <c r="A40" s="240" t="s">
        <v>442</v>
      </c>
      <c r="B40" s="240" t="s">
        <v>443</v>
      </c>
      <c r="C40" s="240" t="s">
        <v>298</v>
      </c>
      <c r="D40" s="240">
        <v>1718004</v>
      </c>
      <c r="E40" s="247">
        <v>44341.418055555558</v>
      </c>
      <c r="F40" s="243" t="s">
        <v>467</v>
      </c>
      <c r="G40" s="240"/>
      <c r="H40" s="240"/>
    </row>
    <row r="41" spans="1:8" x14ac:dyDescent="0.25">
      <c r="A41" s="240" t="s">
        <v>442</v>
      </c>
      <c r="B41" s="240" t="s">
        <v>443</v>
      </c>
      <c r="C41" s="240" t="s">
        <v>298</v>
      </c>
      <c r="D41" s="240">
        <v>1718001</v>
      </c>
      <c r="E41" s="247">
        <v>44341.418055555558</v>
      </c>
      <c r="F41" s="243" t="s">
        <v>467</v>
      </c>
      <c r="G41" s="240"/>
      <c r="H41" s="240"/>
    </row>
    <row r="42" spans="1:8" x14ac:dyDescent="0.25">
      <c r="A42" s="240" t="s">
        <v>442</v>
      </c>
      <c r="B42" s="240" t="s">
        <v>443</v>
      </c>
      <c r="C42" s="240" t="s">
        <v>298</v>
      </c>
      <c r="D42" s="240">
        <v>1718007</v>
      </c>
      <c r="E42" s="247">
        <v>44341.418055555558</v>
      </c>
      <c r="F42" s="243" t="s">
        <v>467</v>
      </c>
      <c r="G42" s="240"/>
      <c r="H42" s="240"/>
    </row>
    <row r="43" spans="1:8" x14ac:dyDescent="0.25">
      <c r="A43" s="240" t="s">
        <v>442</v>
      </c>
      <c r="B43" s="240" t="s">
        <v>443</v>
      </c>
      <c r="C43" s="240" t="s">
        <v>299</v>
      </c>
      <c r="D43" s="240">
        <v>1717003</v>
      </c>
      <c r="E43" s="247">
        <v>44341.42291666667</v>
      </c>
      <c r="F43" s="243" t="s">
        <v>468</v>
      </c>
      <c r="G43" s="240"/>
      <c r="H43" s="240"/>
    </row>
    <row r="44" spans="1:8" x14ac:dyDescent="0.25">
      <c r="A44" s="240" t="s">
        <v>442</v>
      </c>
      <c r="B44" s="240" t="s">
        <v>443</v>
      </c>
      <c r="C44" s="240" t="s">
        <v>299</v>
      </c>
      <c r="D44" s="240">
        <v>1717007</v>
      </c>
      <c r="E44" s="247">
        <v>44341.42291666667</v>
      </c>
      <c r="F44" s="243" t="s">
        <v>468</v>
      </c>
      <c r="G44" s="240"/>
      <c r="H44" s="240"/>
    </row>
    <row r="45" spans="1:8" x14ac:dyDescent="0.25">
      <c r="A45" s="240" t="s">
        <v>442</v>
      </c>
      <c r="B45" s="240" t="s">
        <v>443</v>
      </c>
      <c r="C45" s="240" t="s">
        <v>452</v>
      </c>
      <c r="D45" s="240">
        <v>1718002</v>
      </c>
      <c r="E45" s="247">
        <v>44341.4375</v>
      </c>
      <c r="F45" s="243" t="s">
        <v>469</v>
      </c>
      <c r="G45" s="240"/>
      <c r="H45" s="240"/>
    </row>
    <row r="46" spans="1:8" x14ac:dyDescent="0.25">
      <c r="A46" s="240" t="s">
        <v>442</v>
      </c>
      <c r="B46" s="240" t="s">
        <v>443</v>
      </c>
      <c r="C46" s="240" t="s">
        <v>452</v>
      </c>
      <c r="D46" s="240">
        <v>1718005</v>
      </c>
      <c r="E46" s="247">
        <v>44341.4375</v>
      </c>
      <c r="F46" s="243" t="s">
        <v>469</v>
      </c>
      <c r="G46" s="240"/>
      <c r="H46" s="240"/>
    </row>
    <row r="47" spans="1:8" x14ac:dyDescent="0.25">
      <c r="A47" s="240" t="s">
        <v>442</v>
      </c>
      <c r="B47" s="240" t="s">
        <v>443</v>
      </c>
      <c r="C47" s="240" t="s">
        <v>454</v>
      </c>
      <c r="D47" s="240">
        <v>1693001</v>
      </c>
      <c r="E47" s="247">
        <v>44341.451388888891</v>
      </c>
      <c r="F47" s="243" t="s">
        <v>470</v>
      </c>
      <c r="G47" s="240"/>
      <c r="H47" s="240"/>
    </row>
    <row r="48" spans="1:8" x14ac:dyDescent="0.25">
      <c r="A48" s="240" t="s">
        <v>442</v>
      </c>
      <c r="B48" s="240" t="s">
        <v>443</v>
      </c>
      <c r="C48" s="240" t="s">
        <v>454</v>
      </c>
      <c r="D48" s="240">
        <v>1693004</v>
      </c>
      <c r="E48" s="247">
        <v>44341.451388888891</v>
      </c>
      <c r="F48" s="243" t="s">
        <v>470</v>
      </c>
      <c r="G48" s="240"/>
      <c r="H48" s="240"/>
    </row>
    <row r="49" spans="1:8" x14ac:dyDescent="0.25">
      <c r="A49" s="240" t="s">
        <v>442</v>
      </c>
      <c r="B49" s="240" t="s">
        <v>443</v>
      </c>
      <c r="C49" s="240" t="s">
        <v>303</v>
      </c>
      <c r="D49" s="240">
        <v>1717004</v>
      </c>
      <c r="E49" s="247">
        <v>44341.454861111109</v>
      </c>
      <c r="F49" s="243" t="s">
        <v>471</v>
      </c>
      <c r="G49" s="240"/>
      <c r="H49" s="240"/>
    </row>
    <row r="50" spans="1:8" x14ac:dyDescent="0.25">
      <c r="A50" s="240" t="s">
        <v>442</v>
      </c>
      <c r="B50" s="240" t="s">
        <v>443</v>
      </c>
      <c r="C50" s="240" t="s">
        <v>303</v>
      </c>
      <c r="D50" s="240">
        <v>1717008</v>
      </c>
      <c r="E50" s="247">
        <v>44341.454861111109</v>
      </c>
      <c r="F50" s="243" t="s">
        <v>471</v>
      </c>
      <c r="G50" s="240"/>
      <c r="H50" s="240"/>
    </row>
    <row r="51" spans="1:8" x14ac:dyDescent="0.25">
      <c r="A51" s="240" t="s">
        <v>442</v>
      </c>
      <c r="B51" s="240" t="s">
        <v>443</v>
      </c>
      <c r="C51" s="240" t="s">
        <v>136</v>
      </c>
      <c r="D51" s="240">
        <v>1693006</v>
      </c>
      <c r="E51" s="247">
        <v>44341.468055555553</v>
      </c>
      <c r="F51" s="243" t="s">
        <v>472</v>
      </c>
      <c r="G51" s="240"/>
      <c r="H51" s="240"/>
    </row>
    <row r="52" spans="1:8" x14ac:dyDescent="0.25">
      <c r="A52" s="240" t="s">
        <v>442</v>
      </c>
      <c r="B52" s="240" t="s">
        <v>443</v>
      </c>
      <c r="C52" s="240" t="s">
        <v>136</v>
      </c>
      <c r="D52" s="240">
        <v>1693003</v>
      </c>
      <c r="E52" s="247">
        <v>44341.468055555553</v>
      </c>
      <c r="F52" s="243" t="s">
        <v>472</v>
      </c>
      <c r="G52" s="240"/>
      <c r="H52" s="240"/>
    </row>
    <row r="53" spans="1:8" x14ac:dyDescent="0.25">
      <c r="A53" s="240" t="s">
        <v>442</v>
      </c>
      <c r="B53" s="240" t="s">
        <v>443</v>
      </c>
      <c r="C53" s="240" t="s">
        <v>305</v>
      </c>
      <c r="D53" s="240">
        <v>1693002</v>
      </c>
      <c r="E53" s="247">
        <v>44341.495138888888</v>
      </c>
      <c r="F53" s="243" t="s">
        <v>473</v>
      </c>
      <c r="G53" s="240"/>
      <c r="H53" s="240"/>
    </row>
    <row r="54" spans="1:8" x14ac:dyDescent="0.25">
      <c r="A54" s="240" t="s">
        <v>442</v>
      </c>
      <c r="B54" s="240" t="s">
        <v>443</v>
      </c>
      <c r="C54" s="240" t="s">
        <v>305</v>
      </c>
      <c r="D54" s="240">
        <v>1693005</v>
      </c>
      <c r="E54" s="247">
        <v>44341.495138888888</v>
      </c>
      <c r="F54" s="243" t="s">
        <v>473</v>
      </c>
      <c r="G54" s="240"/>
      <c r="H54" s="240"/>
    </row>
    <row r="55" spans="1:8" x14ac:dyDescent="0.25">
      <c r="A55" s="240" t="s">
        <v>442</v>
      </c>
      <c r="B55" s="240" t="s">
        <v>443</v>
      </c>
      <c r="C55" s="240" t="s">
        <v>150</v>
      </c>
      <c r="D55" s="240">
        <v>1717005</v>
      </c>
      <c r="E55" s="247">
        <v>44341.503472222219</v>
      </c>
      <c r="F55" s="243" t="s">
        <v>474</v>
      </c>
      <c r="G55" s="240"/>
      <c r="H55" s="240"/>
    </row>
    <row r="56" spans="1:8" x14ac:dyDescent="0.25">
      <c r="A56" s="240" t="s">
        <v>442</v>
      </c>
      <c r="B56" s="240" t="s">
        <v>443</v>
      </c>
      <c r="C56" s="240" t="s">
        <v>150</v>
      </c>
      <c r="D56" s="240">
        <v>1717001</v>
      </c>
      <c r="E56" s="247">
        <v>44341.503472222219</v>
      </c>
      <c r="F56" s="243" t="s">
        <v>474</v>
      </c>
      <c r="G56" s="240"/>
      <c r="H56" s="240"/>
    </row>
    <row r="57" spans="1:8" x14ac:dyDescent="0.25">
      <c r="A57" s="240" t="s">
        <v>442</v>
      </c>
      <c r="B57" s="240" t="s">
        <v>443</v>
      </c>
      <c r="C57" s="240" t="s">
        <v>475</v>
      </c>
      <c r="D57" s="240">
        <v>1717009</v>
      </c>
      <c r="E57" s="247">
        <v>44341.521527777775</v>
      </c>
      <c r="F57" s="243" t="s">
        <v>476</v>
      </c>
      <c r="G57" s="240"/>
      <c r="H57" s="240"/>
    </row>
    <row r="58" spans="1:8" x14ac:dyDescent="0.25">
      <c r="A58" s="240" t="s">
        <v>442</v>
      </c>
      <c r="B58" s="240" t="s">
        <v>443</v>
      </c>
      <c r="C58" s="240" t="s">
        <v>308</v>
      </c>
      <c r="D58" s="240">
        <v>1720002</v>
      </c>
      <c r="E58" s="247">
        <v>44342.31527777778</v>
      </c>
      <c r="F58" s="243" t="s">
        <v>477</v>
      </c>
      <c r="G58" s="240"/>
      <c r="H58" s="240"/>
    </row>
    <row r="59" spans="1:8" x14ac:dyDescent="0.25">
      <c r="A59" s="240" t="s">
        <v>442</v>
      </c>
      <c r="B59" s="240" t="s">
        <v>443</v>
      </c>
      <c r="C59" s="240" t="s">
        <v>308</v>
      </c>
      <c r="D59" s="240">
        <v>1720006</v>
      </c>
      <c r="E59" s="247">
        <v>44342.31527777778</v>
      </c>
      <c r="F59" s="243" t="s">
        <v>477</v>
      </c>
      <c r="G59" s="240"/>
      <c r="H59" s="240"/>
    </row>
    <row r="60" spans="1:8" x14ac:dyDescent="0.25">
      <c r="A60" s="240" t="s">
        <v>442</v>
      </c>
      <c r="B60" s="240" t="s">
        <v>443</v>
      </c>
      <c r="C60" s="240" t="s">
        <v>311</v>
      </c>
      <c r="D60" s="240">
        <v>1719002</v>
      </c>
      <c r="E60" s="247">
        <v>44342.327777777777</v>
      </c>
      <c r="F60" s="243" t="s">
        <v>478</v>
      </c>
      <c r="G60" s="240"/>
      <c r="H60" s="240"/>
    </row>
    <row r="61" spans="1:8" x14ac:dyDescent="0.25">
      <c r="A61" s="240" t="s">
        <v>442</v>
      </c>
      <c r="B61" s="240" t="s">
        <v>443</v>
      </c>
      <c r="C61" s="240" t="s">
        <v>311</v>
      </c>
      <c r="D61" s="240">
        <v>1719005</v>
      </c>
      <c r="E61" s="247">
        <v>44342.327777777777</v>
      </c>
      <c r="F61" s="243" t="s">
        <v>478</v>
      </c>
      <c r="G61" s="240"/>
      <c r="H61" s="240"/>
    </row>
    <row r="62" spans="1:8" x14ac:dyDescent="0.25">
      <c r="A62" s="240" t="s">
        <v>442</v>
      </c>
      <c r="B62" s="240" t="s">
        <v>443</v>
      </c>
      <c r="C62" s="240" t="s">
        <v>313</v>
      </c>
      <c r="D62" s="240">
        <v>1720005</v>
      </c>
      <c r="E62" s="247">
        <v>44342.338194444441</v>
      </c>
      <c r="F62" s="243" t="s">
        <v>479</v>
      </c>
      <c r="G62" s="240"/>
      <c r="H62" s="240"/>
    </row>
    <row r="63" spans="1:8" x14ac:dyDescent="0.25">
      <c r="A63" s="240" t="s">
        <v>442</v>
      </c>
      <c r="B63" s="240" t="s">
        <v>443</v>
      </c>
      <c r="C63" s="240" t="s">
        <v>313</v>
      </c>
      <c r="D63" s="240">
        <v>1720001</v>
      </c>
      <c r="E63" s="247">
        <v>44342.338194444441</v>
      </c>
      <c r="F63" s="243" t="s">
        <v>479</v>
      </c>
      <c r="G63" s="240"/>
      <c r="H63" s="240"/>
    </row>
    <row r="64" spans="1:8" x14ac:dyDescent="0.25">
      <c r="A64" s="240" t="s">
        <v>442</v>
      </c>
      <c r="B64" s="240" t="s">
        <v>443</v>
      </c>
      <c r="C64" s="240" t="s">
        <v>109</v>
      </c>
      <c r="D64" s="240">
        <v>1724006</v>
      </c>
      <c r="E64" s="247">
        <v>44342.350694444445</v>
      </c>
      <c r="F64" s="243" t="s">
        <v>480</v>
      </c>
      <c r="G64" s="240"/>
      <c r="H64" s="240"/>
    </row>
    <row r="65" spans="1:8" x14ac:dyDescent="0.25">
      <c r="A65" s="240" t="s">
        <v>442</v>
      </c>
      <c r="B65" s="240" t="s">
        <v>443</v>
      </c>
      <c r="C65" s="240" t="s">
        <v>109</v>
      </c>
      <c r="D65" s="240">
        <v>1724001</v>
      </c>
      <c r="E65" s="247">
        <v>44342.350694444445</v>
      </c>
      <c r="F65" s="243" t="s">
        <v>480</v>
      </c>
      <c r="G65" s="240"/>
      <c r="H65" s="240"/>
    </row>
    <row r="66" spans="1:8" x14ac:dyDescent="0.25">
      <c r="A66" s="240" t="s">
        <v>442</v>
      </c>
      <c r="B66" s="240" t="s">
        <v>443</v>
      </c>
      <c r="C66" s="240" t="s">
        <v>317</v>
      </c>
      <c r="D66" s="240">
        <v>1719003</v>
      </c>
      <c r="E66" s="247">
        <v>44342.365277777775</v>
      </c>
      <c r="F66" s="243" t="s">
        <v>465</v>
      </c>
      <c r="G66" s="240"/>
      <c r="H66" s="240"/>
    </row>
    <row r="67" spans="1:8" x14ac:dyDescent="0.25">
      <c r="A67" s="240" t="s">
        <v>442</v>
      </c>
      <c r="B67" s="240" t="s">
        <v>443</v>
      </c>
      <c r="C67" s="240" t="s">
        <v>317</v>
      </c>
      <c r="D67" s="240">
        <v>1719006</v>
      </c>
      <c r="E67" s="247">
        <v>44342.365277777775</v>
      </c>
      <c r="F67" s="243" t="s">
        <v>465</v>
      </c>
      <c r="G67" s="240"/>
      <c r="H67" s="240"/>
    </row>
    <row r="68" spans="1:8" x14ac:dyDescent="0.25">
      <c r="A68" s="240" t="s">
        <v>442</v>
      </c>
      <c r="B68" s="240" t="s">
        <v>443</v>
      </c>
      <c r="C68" s="240" t="s">
        <v>320</v>
      </c>
      <c r="D68" s="240">
        <v>1720007</v>
      </c>
      <c r="E68" s="247">
        <v>44342.37777777778</v>
      </c>
      <c r="F68" s="243" t="s">
        <v>481</v>
      </c>
      <c r="G68" s="240"/>
      <c r="H68" s="240"/>
    </row>
    <row r="69" spans="1:8" x14ac:dyDescent="0.25">
      <c r="A69" s="240" t="s">
        <v>442</v>
      </c>
      <c r="B69" s="240" t="s">
        <v>443</v>
      </c>
      <c r="C69" s="240" t="s">
        <v>320</v>
      </c>
      <c r="D69" s="240">
        <v>1720003</v>
      </c>
      <c r="E69" s="247">
        <v>44342.37777777778</v>
      </c>
      <c r="F69" s="243" t="s">
        <v>481</v>
      </c>
      <c r="G69" s="240"/>
      <c r="H69" s="240"/>
    </row>
    <row r="70" spans="1:8" x14ac:dyDescent="0.25">
      <c r="A70" s="240" t="s">
        <v>442</v>
      </c>
      <c r="B70" s="240" t="s">
        <v>443</v>
      </c>
      <c r="C70" s="240" t="s">
        <v>111</v>
      </c>
      <c r="D70" s="240">
        <v>1724007</v>
      </c>
      <c r="E70" s="247">
        <v>44342.384027777778</v>
      </c>
      <c r="F70" s="243" t="s">
        <v>482</v>
      </c>
      <c r="G70" s="240"/>
      <c r="H70" s="240"/>
    </row>
    <row r="71" spans="1:8" x14ac:dyDescent="0.25">
      <c r="A71" s="240" t="s">
        <v>442</v>
      </c>
      <c r="B71" s="240" t="s">
        <v>443</v>
      </c>
      <c r="C71" s="240" t="s">
        <v>111</v>
      </c>
      <c r="D71" s="240">
        <v>1724002</v>
      </c>
      <c r="E71" s="247">
        <v>44342.384027777778</v>
      </c>
      <c r="F71" s="243" t="s">
        <v>482</v>
      </c>
      <c r="G71" s="240"/>
      <c r="H71" s="240"/>
    </row>
    <row r="72" spans="1:8" x14ac:dyDescent="0.25">
      <c r="A72" s="240" t="s">
        <v>442</v>
      </c>
      <c r="B72" s="240" t="s">
        <v>443</v>
      </c>
      <c r="C72" s="240" t="s">
        <v>327</v>
      </c>
      <c r="D72" s="240">
        <v>1719001</v>
      </c>
      <c r="E72" s="247">
        <v>44342.386111111111</v>
      </c>
      <c r="F72" s="243" t="s">
        <v>483</v>
      </c>
      <c r="G72" s="240"/>
      <c r="H72" s="240"/>
    </row>
    <row r="73" spans="1:8" x14ac:dyDescent="0.25">
      <c r="A73" s="240" t="s">
        <v>442</v>
      </c>
      <c r="B73" s="240" t="s">
        <v>443</v>
      </c>
      <c r="C73" s="240" t="s">
        <v>327</v>
      </c>
      <c r="D73" s="240">
        <v>1719004</v>
      </c>
      <c r="E73" s="247">
        <v>44342.386111111111</v>
      </c>
      <c r="F73" s="243" t="s">
        <v>483</v>
      </c>
      <c r="G73" s="240"/>
      <c r="H73" s="240"/>
    </row>
    <row r="74" spans="1:8" x14ac:dyDescent="0.25">
      <c r="A74" s="240" t="s">
        <v>442</v>
      </c>
      <c r="B74" s="240" t="s">
        <v>443</v>
      </c>
      <c r="C74" s="240" t="s">
        <v>320</v>
      </c>
      <c r="D74" s="240">
        <v>1720009</v>
      </c>
      <c r="E74" s="247">
        <v>44342.38958333333</v>
      </c>
      <c r="F74" s="243" t="s">
        <v>484</v>
      </c>
      <c r="G74" s="240"/>
      <c r="H74" s="240"/>
    </row>
    <row r="75" spans="1:8" x14ac:dyDescent="0.25">
      <c r="A75" s="240" t="s">
        <v>442</v>
      </c>
      <c r="B75" s="240" t="s">
        <v>443</v>
      </c>
      <c r="C75" s="240" t="s">
        <v>320</v>
      </c>
      <c r="D75" s="240">
        <v>1720010</v>
      </c>
      <c r="E75" s="247">
        <v>44342.38958333333</v>
      </c>
      <c r="F75" s="243" t="s">
        <v>484</v>
      </c>
      <c r="G75" s="240"/>
      <c r="H75" s="240"/>
    </row>
    <row r="76" spans="1:8" x14ac:dyDescent="0.25">
      <c r="A76" s="240" t="s">
        <v>442</v>
      </c>
      <c r="B76" s="240" t="s">
        <v>443</v>
      </c>
      <c r="C76" s="240" t="s">
        <v>108</v>
      </c>
      <c r="D76" s="240">
        <v>1720004</v>
      </c>
      <c r="E76" s="247">
        <v>44342.420138888891</v>
      </c>
      <c r="F76" s="243" t="s">
        <v>448</v>
      </c>
      <c r="G76" s="240"/>
      <c r="H76" s="240"/>
    </row>
    <row r="77" spans="1:8" x14ac:dyDescent="0.25">
      <c r="A77" s="240" t="s">
        <v>442</v>
      </c>
      <c r="B77" s="240" t="s">
        <v>443</v>
      </c>
      <c r="C77" s="240" t="s">
        <v>108</v>
      </c>
      <c r="D77" s="240">
        <v>1720008</v>
      </c>
      <c r="E77" s="247">
        <v>44342.420138888891</v>
      </c>
      <c r="F77" s="243" t="s">
        <v>448</v>
      </c>
      <c r="G77" s="240"/>
      <c r="H77" s="240"/>
    </row>
    <row r="78" spans="1:8" x14ac:dyDescent="0.25">
      <c r="A78" s="240" t="s">
        <v>442</v>
      </c>
      <c r="B78" s="240" t="s">
        <v>443</v>
      </c>
      <c r="C78" s="240" t="s">
        <v>112</v>
      </c>
      <c r="D78" s="240">
        <v>1724003</v>
      </c>
      <c r="E78" s="247">
        <v>44342.432638888888</v>
      </c>
      <c r="F78" s="243" t="s">
        <v>464</v>
      </c>
      <c r="G78" s="240"/>
      <c r="H78" s="240"/>
    </row>
    <row r="79" spans="1:8" x14ac:dyDescent="0.25">
      <c r="A79" s="240" t="s">
        <v>442</v>
      </c>
      <c r="B79" s="240" t="s">
        <v>443</v>
      </c>
      <c r="C79" s="240" t="s">
        <v>112</v>
      </c>
      <c r="D79" s="240">
        <v>1724011</v>
      </c>
      <c r="E79" s="247">
        <v>44342.432638888888</v>
      </c>
      <c r="F79" s="243" t="s">
        <v>464</v>
      </c>
      <c r="G79" s="240"/>
      <c r="H79" s="240"/>
    </row>
    <row r="80" spans="1:8" x14ac:dyDescent="0.25">
      <c r="A80" s="240" t="s">
        <v>442</v>
      </c>
      <c r="B80" s="240" t="s">
        <v>443</v>
      </c>
      <c r="C80" s="240" t="s">
        <v>112</v>
      </c>
      <c r="D80" s="240">
        <v>1724008</v>
      </c>
      <c r="E80" s="247">
        <v>44342.432638888888</v>
      </c>
      <c r="F80" s="243" t="s">
        <v>464</v>
      </c>
      <c r="G80" s="240"/>
      <c r="H80" s="240"/>
    </row>
    <row r="81" spans="1:8" x14ac:dyDescent="0.25">
      <c r="A81" s="240" t="s">
        <v>442</v>
      </c>
      <c r="B81" s="240" t="s">
        <v>443</v>
      </c>
      <c r="C81" s="240" t="s">
        <v>112</v>
      </c>
      <c r="D81" s="240">
        <v>1724012</v>
      </c>
      <c r="E81" s="247">
        <v>44342.432638888888</v>
      </c>
      <c r="F81" s="243" t="s">
        <v>464</v>
      </c>
      <c r="G81" s="240"/>
      <c r="H81" s="240"/>
    </row>
    <row r="82" spans="1:8" x14ac:dyDescent="0.25">
      <c r="A82" s="240" t="s">
        <v>442</v>
      </c>
      <c r="B82" s="240" t="s">
        <v>443</v>
      </c>
      <c r="C82" s="240" t="s">
        <v>113</v>
      </c>
      <c r="D82" s="240">
        <v>1724004</v>
      </c>
      <c r="E82" s="247">
        <v>44342.46875</v>
      </c>
      <c r="F82" s="243" t="s">
        <v>485</v>
      </c>
      <c r="G82" s="240"/>
      <c r="H82" s="240"/>
    </row>
    <row r="83" spans="1:8" x14ac:dyDescent="0.25">
      <c r="A83" s="240" t="s">
        <v>442</v>
      </c>
      <c r="B83" s="240" t="s">
        <v>443</v>
      </c>
      <c r="C83" s="240" t="s">
        <v>113</v>
      </c>
      <c r="D83" s="240">
        <v>1724009</v>
      </c>
      <c r="E83" s="247">
        <v>44342.46875</v>
      </c>
      <c r="F83" s="243" t="s">
        <v>485</v>
      </c>
      <c r="G83" s="240"/>
      <c r="H83" s="240"/>
    </row>
    <row r="84" spans="1:8" x14ac:dyDescent="0.25">
      <c r="A84" s="240" t="s">
        <v>442</v>
      </c>
      <c r="B84" s="240" t="s">
        <v>443</v>
      </c>
      <c r="C84" s="240" t="s">
        <v>333</v>
      </c>
      <c r="D84" s="240">
        <v>1724010</v>
      </c>
      <c r="E84" s="247">
        <v>44342.524305555555</v>
      </c>
      <c r="F84" s="243" t="s">
        <v>486</v>
      </c>
      <c r="G84" s="240"/>
      <c r="H84" s="240"/>
    </row>
    <row r="85" spans="1:8" x14ac:dyDescent="0.25">
      <c r="A85" s="240" t="s">
        <v>442</v>
      </c>
      <c r="B85" s="240" t="s">
        <v>443</v>
      </c>
      <c r="C85" s="240" t="s">
        <v>333</v>
      </c>
      <c r="D85" s="240">
        <v>1724005</v>
      </c>
      <c r="E85" s="247">
        <v>44342.524305555555</v>
      </c>
      <c r="F85" s="243" t="s">
        <v>486</v>
      </c>
      <c r="G85" s="240"/>
      <c r="H85" s="240"/>
    </row>
    <row r="86" spans="1:8" x14ac:dyDescent="0.25">
      <c r="A86" s="240" t="s">
        <v>442</v>
      </c>
      <c r="B86" s="240" t="s">
        <v>443</v>
      </c>
      <c r="C86" s="240" t="s">
        <v>124</v>
      </c>
      <c r="D86" s="240">
        <v>1721007</v>
      </c>
      <c r="E86" s="247">
        <v>44343.326388888891</v>
      </c>
      <c r="F86" s="243" t="s">
        <v>487</v>
      </c>
      <c r="G86" s="240"/>
      <c r="H86" s="240"/>
    </row>
    <row r="87" spans="1:8" x14ac:dyDescent="0.25">
      <c r="A87" s="240" t="s">
        <v>442</v>
      </c>
      <c r="B87" s="240" t="s">
        <v>443</v>
      </c>
      <c r="C87" s="240" t="s">
        <v>124</v>
      </c>
      <c r="D87" s="240">
        <v>1721001</v>
      </c>
      <c r="E87" s="247">
        <v>44343.326388888891</v>
      </c>
      <c r="F87" s="243" t="s">
        <v>487</v>
      </c>
      <c r="G87" s="240"/>
      <c r="H87" s="240"/>
    </row>
    <row r="88" spans="1:8" x14ac:dyDescent="0.25">
      <c r="A88" s="240" t="s">
        <v>442</v>
      </c>
      <c r="B88" s="240" t="s">
        <v>443</v>
      </c>
      <c r="C88" s="240" t="s">
        <v>335</v>
      </c>
      <c r="D88" s="240">
        <v>1721002</v>
      </c>
      <c r="E88" s="247">
        <v>44343.372916666667</v>
      </c>
      <c r="F88" s="243" t="s">
        <v>488</v>
      </c>
      <c r="G88" s="240"/>
      <c r="H88" s="240"/>
    </row>
    <row r="89" spans="1:8" x14ac:dyDescent="0.25">
      <c r="A89" s="240" t="s">
        <v>442</v>
      </c>
      <c r="B89" s="240" t="s">
        <v>443</v>
      </c>
      <c r="C89" s="240" t="s">
        <v>335</v>
      </c>
      <c r="D89" s="240">
        <v>1721008</v>
      </c>
      <c r="E89" s="247">
        <v>44343.372916666667</v>
      </c>
      <c r="F89" s="243" t="s">
        <v>488</v>
      </c>
      <c r="G89" s="240"/>
      <c r="H89" s="240"/>
    </row>
    <row r="90" spans="1:8" x14ac:dyDescent="0.25">
      <c r="A90" s="240" t="s">
        <v>442</v>
      </c>
      <c r="B90" s="240" t="s">
        <v>443</v>
      </c>
      <c r="C90" s="240" t="s">
        <v>137</v>
      </c>
      <c r="D90" s="240">
        <v>1722001</v>
      </c>
      <c r="E90" s="247">
        <v>44343.381944444445</v>
      </c>
      <c r="F90" s="243" t="s">
        <v>489</v>
      </c>
      <c r="G90" s="240"/>
      <c r="H90" s="240"/>
    </row>
    <row r="91" spans="1:8" x14ac:dyDescent="0.25">
      <c r="A91" s="240" t="s">
        <v>442</v>
      </c>
      <c r="B91" s="240" t="s">
        <v>443</v>
      </c>
      <c r="C91" s="240" t="s">
        <v>137</v>
      </c>
      <c r="D91" s="240">
        <v>1722006</v>
      </c>
      <c r="E91" s="247">
        <v>44343.381944444445</v>
      </c>
      <c r="F91" s="243" t="s">
        <v>489</v>
      </c>
      <c r="G91" s="240"/>
      <c r="H91" s="240"/>
    </row>
    <row r="92" spans="1:8" x14ac:dyDescent="0.25">
      <c r="A92" s="240" t="s">
        <v>442</v>
      </c>
      <c r="B92" s="240" t="s">
        <v>443</v>
      </c>
      <c r="C92" s="240" t="s">
        <v>338</v>
      </c>
      <c r="D92" s="240">
        <v>1721009</v>
      </c>
      <c r="E92" s="247">
        <v>44343.399305555555</v>
      </c>
      <c r="F92" s="243" t="s">
        <v>490</v>
      </c>
      <c r="G92" s="240"/>
      <c r="H92" s="240"/>
    </row>
    <row r="93" spans="1:8" x14ac:dyDescent="0.25">
      <c r="A93" s="240" t="s">
        <v>442</v>
      </c>
      <c r="B93" s="240" t="s">
        <v>443</v>
      </c>
      <c r="C93" s="240" t="s">
        <v>338</v>
      </c>
      <c r="D93" s="240">
        <v>1721003</v>
      </c>
      <c r="E93" s="247">
        <v>44343.399305555555</v>
      </c>
      <c r="F93" s="243" t="s">
        <v>490</v>
      </c>
      <c r="G93" s="240"/>
      <c r="H93" s="240"/>
    </row>
    <row r="94" spans="1:8" x14ac:dyDescent="0.25">
      <c r="A94" s="240" t="s">
        <v>442</v>
      </c>
      <c r="B94" s="240" t="s">
        <v>443</v>
      </c>
      <c r="C94" s="240" t="s">
        <v>340</v>
      </c>
      <c r="D94" s="240">
        <v>1721010</v>
      </c>
      <c r="E94" s="247">
        <v>44343.4375</v>
      </c>
      <c r="F94" s="243" t="s">
        <v>469</v>
      </c>
      <c r="G94" s="240"/>
      <c r="H94" s="240"/>
    </row>
    <row r="95" spans="1:8" x14ac:dyDescent="0.25">
      <c r="A95" s="240" t="s">
        <v>442</v>
      </c>
      <c r="B95" s="240" t="s">
        <v>443</v>
      </c>
      <c r="C95" s="240" t="s">
        <v>340</v>
      </c>
      <c r="D95" s="240">
        <v>1721004</v>
      </c>
      <c r="E95" s="247">
        <v>44343.4375</v>
      </c>
      <c r="F95" s="243" t="s">
        <v>469</v>
      </c>
      <c r="G95" s="240"/>
      <c r="H95" s="240"/>
    </row>
    <row r="96" spans="1:8" x14ac:dyDescent="0.25">
      <c r="A96" s="240" t="s">
        <v>442</v>
      </c>
      <c r="B96" s="240" t="s">
        <v>443</v>
      </c>
      <c r="C96" s="240" t="s">
        <v>342</v>
      </c>
      <c r="D96" s="240">
        <v>1722004</v>
      </c>
      <c r="E96" s="247">
        <v>44343.443749999999</v>
      </c>
      <c r="F96" s="243" t="s">
        <v>491</v>
      </c>
      <c r="G96" s="240"/>
      <c r="H96" s="240"/>
    </row>
    <row r="97" spans="1:8" x14ac:dyDescent="0.25">
      <c r="A97" s="240" t="s">
        <v>442</v>
      </c>
      <c r="B97" s="240" t="s">
        <v>443</v>
      </c>
      <c r="C97" s="240" t="s">
        <v>342</v>
      </c>
      <c r="D97" s="240">
        <v>1722009</v>
      </c>
      <c r="E97" s="247">
        <v>44343.443749999999</v>
      </c>
      <c r="F97" s="243" t="s">
        <v>491</v>
      </c>
      <c r="G97" s="240"/>
      <c r="H97" s="240"/>
    </row>
    <row r="98" spans="1:8" x14ac:dyDescent="0.25">
      <c r="A98" s="240" t="s">
        <v>442</v>
      </c>
      <c r="B98" s="240" t="s">
        <v>443</v>
      </c>
      <c r="C98" s="240" t="s">
        <v>344</v>
      </c>
      <c r="D98" s="240">
        <v>1721011</v>
      </c>
      <c r="E98" s="247">
        <v>44343.46597222222</v>
      </c>
      <c r="F98" s="243" t="s">
        <v>492</v>
      </c>
      <c r="G98" s="240"/>
      <c r="H98" s="240"/>
    </row>
    <row r="99" spans="1:8" x14ac:dyDescent="0.25">
      <c r="A99" s="240" t="s">
        <v>442</v>
      </c>
      <c r="B99" s="240" t="s">
        <v>443</v>
      </c>
      <c r="C99" s="240" t="s">
        <v>344</v>
      </c>
      <c r="D99" s="240">
        <v>1721005</v>
      </c>
      <c r="E99" s="247">
        <v>44343.46597222222</v>
      </c>
      <c r="F99" s="243" t="s">
        <v>492</v>
      </c>
      <c r="G99" s="240"/>
      <c r="H99" s="240"/>
    </row>
    <row r="100" spans="1:8" x14ac:dyDescent="0.25">
      <c r="A100" s="240" t="s">
        <v>442</v>
      </c>
      <c r="B100" s="240" t="s">
        <v>443</v>
      </c>
      <c r="C100" s="240" t="s">
        <v>345</v>
      </c>
      <c r="D100" s="240">
        <v>1721006</v>
      </c>
      <c r="E100" s="247">
        <v>44343.488888888889</v>
      </c>
      <c r="F100" s="243" t="s">
        <v>493</v>
      </c>
      <c r="G100" s="240"/>
      <c r="H100" s="240"/>
    </row>
    <row r="101" spans="1:8" x14ac:dyDescent="0.25">
      <c r="A101" s="240" t="s">
        <v>442</v>
      </c>
      <c r="B101" s="240" t="s">
        <v>443</v>
      </c>
      <c r="C101" s="240" t="s">
        <v>345</v>
      </c>
      <c r="D101" s="240">
        <v>1721012</v>
      </c>
      <c r="E101" s="247">
        <v>44343.48951388889</v>
      </c>
      <c r="F101" s="243" t="s">
        <v>493</v>
      </c>
      <c r="G101" s="240"/>
      <c r="H101" s="240"/>
    </row>
    <row r="102" spans="1:8" x14ac:dyDescent="0.25">
      <c r="A102" s="240" t="s">
        <v>442</v>
      </c>
      <c r="B102" s="240" t="s">
        <v>443</v>
      </c>
      <c r="C102" s="240" t="s">
        <v>170</v>
      </c>
      <c r="D102" s="240">
        <v>1727007</v>
      </c>
      <c r="E102" s="247">
        <v>44348.308333333334</v>
      </c>
      <c r="F102" s="243" t="s">
        <v>494</v>
      </c>
      <c r="G102" s="240"/>
      <c r="H102" s="240"/>
    </row>
    <row r="103" spans="1:8" x14ac:dyDescent="0.25">
      <c r="A103" s="240" t="s">
        <v>442</v>
      </c>
      <c r="B103" s="240" t="s">
        <v>443</v>
      </c>
      <c r="C103" s="240" t="s">
        <v>170</v>
      </c>
      <c r="D103" s="240">
        <v>1727002</v>
      </c>
      <c r="E103" s="247">
        <v>44348.308333333334</v>
      </c>
      <c r="F103" s="243" t="s">
        <v>494</v>
      </c>
      <c r="G103" s="240"/>
      <c r="H103" s="240"/>
    </row>
    <row r="104" spans="1:8" x14ac:dyDescent="0.25">
      <c r="A104" s="240" t="s">
        <v>442</v>
      </c>
      <c r="B104" s="240" t="s">
        <v>443</v>
      </c>
      <c r="C104" s="240" t="s">
        <v>349</v>
      </c>
      <c r="D104" s="240">
        <v>1727001</v>
      </c>
      <c r="E104" s="247">
        <v>44348.347222222219</v>
      </c>
      <c r="F104" s="243" t="s">
        <v>495</v>
      </c>
      <c r="G104" s="240"/>
      <c r="H104" s="240"/>
    </row>
    <row r="105" spans="1:8" x14ac:dyDescent="0.25">
      <c r="A105" s="240" t="s">
        <v>442</v>
      </c>
      <c r="B105" s="240" t="s">
        <v>443</v>
      </c>
      <c r="C105" s="240" t="s">
        <v>349</v>
      </c>
      <c r="D105" s="240">
        <v>1727006</v>
      </c>
      <c r="E105" s="247">
        <v>44348.347222222219</v>
      </c>
      <c r="F105" s="243" t="s">
        <v>495</v>
      </c>
      <c r="G105" s="240"/>
      <c r="H105" s="240"/>
    </row>
    <row r="106" spans="1:8" x14ac:dyDescent="0.25">
      <c r="A106" s="240" t="s">
        <v>442</v>
      </c>
      <c r="B106" s="240" t="s">
        <v>443</v>
      </c>
      <c r="C106" s="240" t="s">
        <v>119</v>
      </c>
      <c r="D106" s="240">
        <v>1726004</v>
      </c>
      <c r="E106" s="247">
        <v>44348.373611111114</v>
      </c>
      <c r="F106" s="243" t="s">
        <v>496</v>
      </c>
      <c r="G106" s="240"/>
      <c r="H106" s="240"/>
    </row>
    <row r="107" spans="1:8" x14ac:dyDescent="0.25">
      <c r="A107" s="240" t="s">
        <v>442</v>
      </c>
      <c r="B107" s="240" t="s">
        <v>443</v>
      </c>
      <c r="C107" s="240" t="s">
        <v>119</v>
      </c>
      <c r="D107" s="240">
        <v>1726002</v>
      </c>
      <c r="E107" s="247">
        <v>44348.373611111114</v>
      </c>
      <c r="F107" s="243" t="s">
        <v>496</v>
      </c>
      <c r="G107" s="240"/>
      <c r="H107" s="240"/>
    </row>
    <row r="108" spans="1:8" x14ac:dyDescent="0.25">
      <c r="A108" s="240" t="s">
        <v>442</v>
      </c>
      <c r="B108" s="240" t="s">
        <v>443</v>
      </c>
      <c r="C108" s="240" t="s">
        <v>353</v>
      </c>
      <c r="D108" s="240">
        <v>1727010</v>
      </c>
      <c r="E108" s="247">
        <v>44348.398611111108</v>
      </c>
      <c r="F108" s="243" t="s">
        <v>497</v>
      </c>
      <c r="G108" s="240"/>
      <c r="H108" s="240"/>
    </row>
    <row r="109" spans="1:8" x14ac:dyDescent="0.25">
      <c r="A109" s="240" t="s">
        <v>442</v>
      </c>
      <c r="B109" s="240" t="s">
        <v>443</v>
      </c>
      <c r="C109" s="240" t="s">
        <v>353</v>
      </c>
      <c r="D109" s="240">
        <v>1727005</v>
      </c>
      <c r="E109" s="247">
        <v>44348.398611111108</v>
      </c>
      <c r="F109" s="243" t="s">
        <v>497</v>
      </c>
      <c r="G109" s="240"/>
      <c r="H109" s="240"/>
    </row>
    <row r="110" spans="1:8" x14ac:dyDescent="0.25">
      <c r="A110" s="240" t="s">
        <v>442</v>
      </c>
      <c r="B110" s="240" t="s">
        <v>443</v>
      </c>
      <c r="C110" s="240" t="s">
        <v>123</v>
      </c>
      <c r="D110" s="240">
        <v>1726001</v>
      </c>
      <c r="E110" s="247">
        <v>44348.455555555556</v>
      </c>
      <c r="F110" s="243" t="s">
        <v>498</v>
      </c>
      <c r="G110" s="240"/>
      <c r="H110" s="240"/>
    </row>
    <row r="111" spans="1:8" x14ac:dyDescent="0.25">
      <c r="A111" s="240" t="s">
        <v>442</v>
      </c>
      <c r="B111" s="240" t="s">
        <v>443</v>
      </c>
      <c r="C111" s="240" t="s">
        <v>123</v>
      </c>
      <c r="D111" s="240">
        <v>1726003</v>
      </c>
      <c r="E111" s="247">
        <v>44348.455555555556</v>
      </c>
      <c r="F111" s="243" t="s">
        <v>498</v>
      </c>
      <c r="G111" s="240"/>
      <c r="H111" s="240"/>
    </row>
    <row r="112" spans="1:8" x14ac:dyDescent="0.25">
      <c r="A112" s="240" t="s">
        <v>442</v>
      </c>
      <c r="B112" s="240" t="s">
        <v>443</v>
      </c>
      <c r="C112" s="240" t="s">
        <v>475</v>
      </c>
      <c r="D112" s="240">
        <v>1726005</v>
      </c>
      <c r="E112" s="247">
        <v>44348.472916666666</v>
      </c>
      <c r="F112" s="243" t="s">
        <v>499</v>
      </c>
      <c r="G112" s="240"/>
      <c r="H112" s="240"/>
    </row>
    <row r="113" spans="1:8" x14ac:dyDescent="0.25">
      <c r="A113" s="240" t="s">
        <v>442</v>
      </c>
      <c r="B113" s="240" t="s">
        <v>443</v>
      </c>
      <c r="C113" s="240" t="s">
        <v>356</v>
      </c>
      <c r="D113" s="240">
        <v>1744008</v>
      </c>
      <c r="E113" s="247">
        <v>44349.381249999999</v>
      </c>
      <c r="F113" s="243" t="s">
        <v>500</v>
      </c>
      <c r="G113" s="240"/>
      <c r="H113" s="240"/>
    </row>
    <row r="114" spans="1:8" x14ac:dyDescent="0.25">
      <c r="A114" s="240" t="s">
        <v>442</v>
      </c>
      <c r="B114" s="240" t="s">
        <v>443</v>
      </c>
      <c r="C114" s="240" t="s">
        <v>356</v>
      </c>
      <c r="D114" s="240">
        <v>1744002</v>
      </c>
      <c r="E114" s="247">
        <v>44349.381249999999</v>
      </c>
      <c r="F114" s="243" t="s">
        <v>500</v>
      </c>
      <c r="G114" s="240"/>
      <c r="H114" s="240"/>
    </row>
    <row r="115" spans="1:8" x14ac:dyDescent="0.25">
      <c r="A115" s="240" t="s">
        <v>442</v>
      </c>
      <c r="B115" s="240" t="s">
        <v>443</v>
      </c>
      <c r="C115" s="240" t="s">
        <v>160</v>
      </c>
      <c r="D115" s="240">
        <v>1744003</v>
      </c>
      <c r="E115" s="247">
        <v>44349.381944444445</v>
      </c>
      <c r="F115" s="243" t="s">
        <v>489</v>
      </c>
      <c r="G115" s="240"/>
      <c r="H115" s="240"/>
    </row>
    <row r="116" spans="1:8" x14ac:dyDescent="0.25">
      <c r="A116" s="240" t="s">
        <v>442</v>
      </c>
      <c r="B116" s="240" t="s">
        <v>443</v>
      </c>
      <c r="C116" s="240" t="s">
        <v>160</v>
      </c>
      <c r="D116" s="240">
        <v>1744009</v>
      </c>
      <c r="E116" s="247">
        <v>44349.381944444445</v>
      </c>
      <c r="F116" s="243" t="s">
        <v>489</v>
      </c>
      <c r="G116" s="240"/>
      <c r="H116" s="240"/>
    </row>
    <row r="117" spans="1:8" x14ac:dyDescent="0.25">
      <c r="A117" s="240" t="s">
        <v>442</v>
      </c>
      <c r="B117" s="240" t="s">
        <v>443</v>
      </c>
      <c r="C117" s="240" t="s">
        <v>161</v>
      </c>
      <c r="D117" s="240">
        <v>1744010</v>
      </c>
      <c r="E117" s="247">
        <v>44349.416666666664</v>
      </c>
      <c r="F117" s="243" t="s">
        <v>451</v>
      </c>
      <c r="G117" s="240"/>
      <c r="H117" s="240"/>
    </row>
    <row r="118" spans="1:8" x14ac:dyDescent="0.25">
      <c r="A118" s="240" t="s">
        <v>442</v>
      </c>
      <c r="B118" s="240" t="s">
        <v>443</v>
      </c>
      <c r="C118" s="240" t="s">
        <v>161</v>
      </c>
      <c r="D118" s="240">
        <v>1744004</v>
      </c>
      <c r="E118" s="247">
        <v>44349.416666666664</v>
      </c>
      <c r="F118" s="243" t="s">
        <v>451</v>
      </c>
      <c r="G118" s="240"/>
      <c r="H118" s="240"/>
    </row>
    <row r="119" spans="1:8" x14ac:dyDescent="0.25">
      <c r="A119" s="240" t="s">
        <v>442</v>
      </c>
      <c r="B119" s="240" t="s">
        <v>443</v>
      </c>
      <c r="C119" s="240" t="s">
        <v>361</v>
      </c>
      <c r="D119" s="240">
        <v>1743006</v>
      </c>
      <c r="E119" s="247">
        <v>44349.43472222222</v>
      </c>
      <c r="F119" s="243" t="s">
        <v>501</v>
      </c>
      <c r="G119" s="240"/>
      <c r="H119" s="240"/>
    </row>
    <row r="120" spans="1:8" x14ac:dyDescent="0.25">
      <c r="A120" s="240" t="s">
        <v>442</v>
      </c>
      <c r="B120" s="240" t="s">
        <v>443</v>
      </c>
      <c r="C120" s="240" t="s">
        <v>361</v>
      </c>
      <c r="D120" s="240">
        <v>1743004</v>
      </c>
      <c r="E120" s="247">
        <v>44349.43472222222</v>
      </c>
      <c r="F120" s="243" t="s">
        <v>501</v>
      </c>
      <c r="G120" s="240"/>
      <c r="H120" s="240"/>
    </row>
    <row r="121" spans="1:8" x14ac:dyDescent="0.25">
      <c r="A121" s="240" t="s">
        <v>442</v>
      </c>
      <c r="B121" s="240" t="s">
        <v>443</v>
      </c>
      <c r="C121" s="240" t="s">
        <v>361</v>
      </c>
      <c r="D121" s="240">
        <v>1743005</v>
      </c>
      <c r="E121" s="247">
        <v>44349.43472222222</v>
      </c>
      <c r="F121" s="243" t="s">
        <v>501</v>
      </c>
      <c r="G121" s="240"/>
      <c r="H121" s="240"/>
    </row>
    <row r="122" spans="1:8" x14ac:dyDescent="0.25">
      <c r="A122" s="240" t="s">
        <v>442</v>
      </c>
      <c r="B122" s="240" t="s">
        <v>443</v>
      </c>
      <c r="C122" s="240" t="s">
        <v>361</v>
      </c>
      <c r="D122" s="240">
        <v>1743002</v>
      </c>
      <c r="E122" s="247">
        <v>44349.43472222222</v>
      </c>
      <c r="F122" s="243" t="s">
        <v>501</v>
      </c>
      <c r="G122" s="240"/>
      <c r="H122" s="240"/>
    </row>
    <row r="123" spans="1:8" x14ac:dyDescent="0.25">
      <c r="A123" s="240" t="s">
        <v>442</v>
      </c>
      <c r="B123" s="240" t="s">
        <v>443</v>
      </c>
      <c r="C123" s="240" t="s">
        <v>162</v>
      </c>
      <c r="D123" s="240">
        <v>1744001</v>
      </c>
      <c r="E123" s="247">
        <v>44349.446527777778</v>
      </c>
      <c r="F123" s="243" t="s">
        <v>502</v>
      </c>
      <c r="G123" s="240"/>
      <c r="H123" s="240"/>
    </row>
    <row r="124" spans="1:8" x14ac:dyDescent="0.25">
      <c r="A124" s="240" t="s">
        <v>442</v>
      </c>
      <c r="B124" s="240" t="s">
        <v>443</v>
      </c>
      <c r="C124" s="240" t="s">
        <v>162</v>
      </c>
      <c r="D124" s="240">
        <v>1744007</v>
      </c>
      <c r="E124" s="247">
        <v>44349.446527777778</v>
      </c>
      <c r="F124" s="243" t="s">
        <v>502</v>
      </c>
      <c r="G124" s="240"/>
      <c r="H124" s="240"/>
    </row>
    <row r="125" spans="1:8" x14ac:dyDescent="0.25">
      <c r="A125" s="240" t="s">
        <v>442</v>
      </c>
      <c r="B125" s="240" t="s">
        <v>443</v>
      </c>
      <c r="C125" s="240" t="s">
        <v>365</v>
      </c>
      <c r="D125" s="240">
        <v>1744005</v>
      </c>
      <c r="E125" s="247">
        <v>44349.462500000001</v>
      </c>
      <c r="F125" s="243" t="s">
        <v>503</v>
      </c>
      <c r="G125" s="240"/>
      <c r="H125" s="240"/>
    </row>
    <row r="126" spans="1:8" x14ac:dyDescent="0.25">
      <c r="A126" s="240" t="s">
        <v>442</v>
      </c>
      <c r="B126" s="240" t="s">
        <v>443</v>
      </c>
      <c r="C126" s="240" t="s">
        <v>365</v>
      </c>
      <c r="D126" s="240">
        <v>1744011</v>
      </c>
      <c r="E126" s="247">
        <v>44349.462500000001</v>
      </c>
      <c r="F126" s="243" t="s">
        <v>503</v>
      </c>
      <c r="G126" s="240"/>
      <c r="H126" s="240"/>
    </row>
    <row r="127" spans="1:8" x14ac:dyDescent="0.25">
      <c r="A127" s="240" t="s">
        <v>442</v>
      </c>
      <c r="B127" s="240" t="s">
        <v>443</v>
      </c>
      <c r="C127" s="240" t="s">
        <v>166</v>
      </c>
      <c r="D127" s="240">
        <v>1744012</v>
      </c>
      <c r="E127" s="247">
        <v>44349.46875</v>
      </c>
      <c r="F127" s="243" t="s">
        <v>485</v>
      </c>
      <c r="G127" s="240"/>
      <c r="H127" s="240"/>
    </row>
    <row r="128" spans="1:8" x14ac:dyDescent="0.25">
      <c r="A128" s="240" t="s">
        <v>442</v>
      </c>
      <c r="B128" s="240" t="s">
        <v>443</v>
      </c>
      <c r="C128" s="240" t="s">
        <v>166</v>
      </c>
      <c r="D128" s="240">
        <v>1744006</v>
      </c>
      <c r="E128" s="247">
        <v>44349.46875</v>
      </c>
      <c r="F128" s="243" t="s">
        <v>485</v>
      </c>
      <c r="G128" s="240"/>
      <c r="H128" s="240"/>
    </row>
    <row r="129" spans="1:8" x14ac:dyDescent="0.25">
      <c r="A129" s="240" t="s">
        <v>442</v>
      </c>
      <c r="B129" s="240" t="s">
        <v>443</v>
      </c>
      <c r="C129" s="240" t="s">
        <v>367</v>
      </c>
      <c r="D129" s="240">
        <v>1756006</v>
      </c>
      <c r="E129" s="247">
        <v>44350.357638888891</v>
      </c>
      <c r="F129" s="243" t="s">
        <v>504</v>
      </c>
      <c r="G129" s="240"/>
      <c r="H129" s="240"/>
    </row>
    <row r="130" spans="1:8" x14ac:dyDescent="0.25">
      <c r="A130" s="240" t="s">
        <v>442</v>
      </c>
      <c r="B130" s="240" t="s">
        <v>443</v>
      </c>
      <c r="C130" s="240" t="s">
        <v>367</v>
      </c>
      <c r="D130" s="240">
        <v>1756001</v>
      </c>
      <c r="E130" s="247">
        <v>44350.357638888891</v>
      </c>
      <c r="F130" s="243" t="s">
        <v>504</v>
      </c>
      <c r="G130" s="240"/>
      <c r="H130" s="240"/>
    </row>
    <row r="131" spans="1:8" x14ac:dyDescent="0.25">
      <c r="A131" s="240" t="s">
        <v>442</v>
      </c>
      <c r="B131" s="240" t="s">
        <v>443</v>
      </c>
      <c r="C131" s="240" t="s">
        <v>370</v>
      </c>
      <c r="D131" s="240">
        <v>1756010</v>
      </c>
      <c r="E131" s="247">
        <v>44350.365972222222</v>
      </c>
      <c r="F131" s="243" t="s">
        <v>505</v>
      </c>
      <c r="G131" s="240"/>
      <c r="H131" s="240"/>
    </row>
    <row r="132" spans="1:8" x14ac:dyDescent="0.25">
      <c r="A132" s="240" t="s">
        <v>442</v>
      </c>
      <c r="B132" s="240" t="s">
        <v>443</v>
      </c>
      <c r="C132" s="240" t="s">
        <v>370</v>
      </c>
      <c r="D132" s="240">
        <v>1756005</v>
      </c>
      <c r="E132" s="247">
        <v>44350.365972222222</v>
      </c>
      <c r="F132" s="243" t="s">
        <v>505</v>
      </c>
      <c r="G132" s="240"/>
      <c r="H132" s="240"/>
    </row>
    <row r="133" spans="1:8" x14ac:dyDescent="0.25">
      <c r="A133" s="240" t="s">
        <v>442</v>
      </c>
      <c r="B133" s="240" t="s">
        <v>443</v>
      </c>
      <c r="C133" s="240" t="s">
        <v>154</v>
      </c>
      <c r="D133" s="240">
        <v>1756003</v>
      </c>
      <c r="E133" s="247">
        <v>44350.412499999999</v>
      </c>
      <c r="F133" s="243" t="s">
        <v>457</v>
      </c>
      <c r="G133" s="240"/>
      <c r="H133" s="240"/>
    </row>
    <row r="134" spans="1:8" x14ac:dyDescent="0.25">
      <c r="A134" s="240" t="s">
        <v>442</v>
      </c>
      <c r="B134" s="240" t="s">
        <v>443</v>
      </c>
      <c r="C134" s="240" t="s">
        <v>154</v>
      </c>
      <c r="D134" s="240">
        <v>1756008</v>
      </c>
      <c r="E134" s="247">
        <v>44350.412499999999</v>
      </c>
      <c r="F134" s="243" t="s">
        <v>457</v>
      </c>
      <c r="G134" s="240"/>
      <c r="H134" s="240"/>
    </row>
    <row r="135" spans="1:8" x14ac:dyDescent="0.25">
      <c r="A135" s="240" t="s">
        <v>442</v>
      </c>
      <c r="B135" s="240" t="s">
        <v>443</v>
      </c>
      <c r="C135" s="240" t="s">
        <v>155</v>
      </c>
      <c r="D135" s="240">
        <v>1756007</v>
      </c>
      <c r="E135" s="247">
        <v>44350.415277777778</v>
      </c>
      <c r="F135" s="243" t="s">
        <v>506</v>
      </c>
      <c r="G135" s="240"/>
      <c r="H135" s="240"/>
    </row>
    <row r="136" spans="1:8" x14ac:dyDescent="0.25">
      <c r="A136" s="240" t="s">
        <v>442</v>
      </c>
      <c r="B136" s="240" t="s">
        <v>443</v>
      </c>
      <c r="C136" s="240" t="s">
        <v>155</v>
      </c>
      <c r="D136" s="240">
        <v>1756002</v>
      </c>
      <c r="E136" s="247">
        <v>44350.415277777778</v>
      </c>
      <c r="F136" s="243" t="s">
        <v>506</v>
      </c>
      <c r="G136" s="240"/>
      <c r="H136" s="240"/>
    </row>
    <row r="137" spans="1:8" x14ac:dyDescent="0.25">
      <c r="A137" s="240" t="s">
        <v>442</v>
      </c>
      <c r="B137" s="240" t="s">
        <v>443</v>
      </c>
      <c r="C137" s="240" t="s">
        <v>376</v>
      </c>
      <c r="D137" s="240">
        <v>1756009</v>
      </c>
      <c r="E137" s="247">
        <v>44350.429861111108</v>
      </c>
      <c r="F137" s="243" t="s">
        <v>456</v>
      </c>
      <c r="G137" s="240"/>
      <c r="H137" s="240"/>
    </row>
    <row r="138" spans="1:8" x14ac:dyDescent="0.25">
      <c r="A138" s="240" t="s">
        <v>442</v>
      </c>
      <c r="B138" s="240" t="s">
        <v>443</v>
      </c>
      <c r="C138" s="240" t="s">
        <v>376</v>
      </c>
      <c r="D138" s="240">
        <v>1756004</v>
      </c>
      <c r="E138" s="247">
        <v>44350.429861111108</v>
      </c>
      <c r="F138" s="243" t="s">
        <v>456</v>
      </c>
      <c r="G138" s="240"/>
      <c r="H138" s="240"/>
    </row>
    <row r="139" spans="1:8" x14ac:dyDescent="0.25">
      <c r="A139" s="240" t="s">
        <v>442</v>
      </c>
      <c r="B139" s="240" t="s">
        <v>443</v>
      </c>
      <c r="C139" s="240" t="s">
        <v>507</v>
      </c>
      <c r="D139" s="240">
        <v>1756011</v>
      </c>
      <c r="E139" s="247">
        <v>44350.444444444445</v>
      </c>
      <c r="F139" s="243" t="s">
        <v>462</v>
      </c>
      <c r="G139" s="240"/>
      <c r="H139" s="240"/>
    </row>
    <row r="140" spans="1:8" x14ac:dyDescent="0.25">
      <c r="A140" s="240" t="s">
        <v>442</v>
      </c>
      <c r="B140" s="240" t="s">
        <v>443</v>
      </c>
      <c r="C140" s="240" t="s">
        <v>144</v>
      </c>
      <c r="D140" s="240">
        <v>1854007</v>
      </c>
      <c r="E140" s="247">
        <v>44411.381249999999</v>
      </c>
      <c r="F140" s="243" t="s">
        <v>500</v>
      </c>
      <c r="G140" s="240"/>
      <c r="H140" s="240"/>
    </row>
    <row r="141" spans="1:8" x14ac:dyDescent="0.25">
      <c r="A141" s="240" t="s">
        <v>442</v>
      </c>
      <c r="B141" s="240" t="s">
        <v>443</v>
      </c>
      <c r="C141" s="240" t="s">
        <v>144</v>
      </c>
      <c r="D141" s="240">
        <v>1854003</v>
      </c>
      <c r="E141" s="247">
        <v>44411.381249999999</v>
      </c>
      <c r="F141" s="243" t="s">
        <v>500</v>
      </c>
      <c r="G141" s="240"/>
      <c r="H141" s="240"/>
    </row>
    <row r="142" spans="1:8" x14ac:dyDescent="0.25">
      <c r="A142" s="240" t="s">
        <v>442</v>
      </c>
      <c r="B142" s="240" t="s">
        <v>443</v>
      </c>
      <c r="C142" s="240" t="s">
        <v>109</v>
      </c>
      <c r="D142" s="240">
        <v>1855003</v>
      </c>
      <c r="E142" s="247">
        <v>44411.386111111111</v>
      </c>
      <c r="F142" s="243" t="s">
        <v>483</v>
      </c>
      <c r="G142" s="240"/>
      <c r="H142" s="240"/>
    </row>
    <row r="143" spans="1:8" x14ac:dyDescent="0.25">
      <c r="A143" s="240" t="s">
        <v>442</v>
      </c>
      <c r="B143" s="240" t="s">
        <v>443</v>
      </c>
      <c r="C143" s="240" t="s">
        <v>109</v>
      </c>
      <c r="D143" s="240">
        <v>1855001</v>
      </c>
      <c r="E143" s="247">
        <v>44411.386111111111</v>
      </c>
      <c r="F143" s="243" t="s">
        <v>483</v>
      </c>
      <c r="G143" s="240"/>
      <c r="H143" s="240"/>
    </row>
    <row r="144" spans="1:8" x14ac:dyDescent="0.25">
      <c r="A144" s="240" t="s">
        <v>442</v>
      </c>
      <c r="B144" s="240" t="s">
        <v>443</v>
      </c>
      <c r="C144" s="240" t="s">
        <v>303</v>
      </c>
      <c r="D144" s="240">
        <v>1854004</v>
      </c>
      <c r="E144" s="247">
        <v>44411.421527777777</v>
      </c>
      <c r="F144" s="243" t="s">
        <v>508</v>
      </c>
      <c r="G144" s="240"/>
      <c r="H144" s="240"/>
    </row>
    <row r="145" spans="1:8" x14ac:dyDescent="0.25">
      <c r="A145" s="240" t="s">
        <v>442</v>
      </c>
      <c r="B145" s="240" t="s">
        <v>443</v>
      </c>
      <c r="C145" s="240" t="s">
        <v>303</v>
      </c>
      <c r="D145" s="240">
        <v>1854008</v>
      </c>
      <c r="E145" s="247">
        <v>44411.421527777777</v>
      </c>
      <c r="F145" s="243" t="s">
        <v>508</v>
      </c>
      <c r="G145" s="240"/>
      <c r="H145" s="240"/>
    </row>
    <row r="146" spans="1:8" x14ac:dyDescent="0.25">
      <c r="A146" s="240" t="s">
        <v>442</v>
      </c>
      <c r="B146" s="240" t="s">
        <v>443</v>
      </c>
      <c r="C146" s="240" t="s">
        <v>111</v>
      </c>
      <c r="D146" s="240">
        <v>1855006</v>
      </c>
      <c r="E146" s="247">
        <v>44411.454861111109</v>
      </c>
      <c r="F146" s="243" t="s">
        <v>471</v>
      </c>
      <c r="G146" s="240"/>
      <c r="H146" s="240"/>
    </row>
    <row r="147" spans="1:8" x14ac:dyDescent="0.25">
      <c r="A147" s="240" t="s">
        <v>442</v>
      </c>
      <c r="B147" s="240" t="s">
        <v>443</v>
      </c>
      <c r="C147" s="240" t="s">
        <v>111</v>
      </c>
      <c r="D147" s="240">
        <v>1855004</v>
      </c>
      <c r="E147" s="247">
        <v>44411.454861111109</v>
      </c>
      <c r="F147" s="243" t="s">
        <v>471</v>
      </c>
      <c r="G147" s="240"/>
      <c r="H147" s="240"/>
    </row>
    <row r="148" spans="1:8" x14ac:dyDescent="0.25">
      <c r="A148" s="240" t="s">
        <v>442</v>
      </c>
      <c r="B148" s="240" t="s">
        <v>443</v>
      </c>
      <c r="C148" s="240" t="s">
        <v>111</v>
      </c>
      <c r="D148" s="240">
        <v>1855005</v>
      </c>
      <c r="E148" s="247">
        <v>44411.454861111109</v>
      </c>
      <c r="F148" s="243" t="s">
        <v>471</v>
      </c>
      <c r="G148" s="240"/>
      <c r="H148" s="240"/>
    </row>
    <row r="149" spans="1:8" x14ac:dyDescent="0.25">
      <c r="A149" s="240" t="s">
        <v>442</v>
      </c>
      <c r="B149" s="240" t="s">
        <v>443</v>
      </c>
      <c r="C149" s="240" t="s">
        <v>111</v>
      </c>
      <c r="D149" s="240">
        <v>1855002</v>
      </c>
      <c r="E149" s="247">
        <v>44411.454861111109</v>
      </c>
      <c r="F149" s="243" t="s">
        <v>471</v>
      </c>
      <c r="G149" s="240"/>
      <c r="H149" s="240"/>
    </row>
    <row r="150" spans="1:8" x14ac:dyDescent="0.25">
      <c r="A150" s="240" t="s">
        <v>442</v>
      </c>
      <c r="B150" s="240" t="s">
        <v>443</v>
      </c>
      <c r="C150" s="240" t="s">
        <v>367</v>
      </c>
      <c r="D150" s="240">
        <v>1874001</v>
      </c>
      <c r="E150" s="247">
        <v>44417.352777777778</v>
      </c>
      <c r="F150" s="243" t="s">
        <v>509</v>
      </c>
      <c r="G150" s="240"/>
      <c r="H150" s="240"/>
    </row>
    <row r="151" spans="1:8" x14ac:dyDescent="0.25">
      <c r="A151" s="240" t="s">
        <v>442</v>
      </c>
      <c r="B151" s="240" t="s">
        <v>443</v>
      </c>
      <c r="C151" s="240" t="s">
        <v>367</v>
      </c>
      <c r="D151" s="240">
        <v>1874006</v>
      </c>
      <c r="E151" s="247">
        <v>44417.352777777778</v>
      </c>
      <c r="F151" s="243" t="s">
        <v>509</v>
      </c>
      <c r="G151" s="240"/>
      <c r="H151" s="240"/>
    </row>
    <row r="152" spans="1:8" x14ac:dyDescent="0.25">
      <c r="A152" s="240" t="s">
        <v>442</v>
      </c>
      <c r="B152" s="240" t="s">
        <v>443</v>
      </c>
      <c r="C152" s="240" t="s">
        <v>370</v>
      </c>
      <c r="D152" s="240">
        <v>1874005</v>
      </c>
      <c r="E152" s="247">
        <v>44417.365277777775</v>
      </c>
      <c r="F152" s="243" t="s">
        <v>465</v>
      </c>
      <c r="G152" s="240"/>
      <c r="H152" s="240"/>
    </row>
    <row r="153" spans="1:8" x14ac:dyDescent="0.25">
      <c r="A153" s="240" t="s">
        <v>442</v>
      </c>
      <c r="B153" s="240" t="s">
        <v>443</v>
      </c>
      <c r="C153" s="240" t="s">
        <v>370</v>
      </c>
      <c r="D153" s="240">
        <v>1874010</v>
      </c>
      <c r="E153" s="247">
        <v>44417.365277777775</v>
      </c>
      <c r="F153" s="243" t="s">
        <v>465</v>
      </c>
      <c r="G153" s="240"/>
      <c r="H153" s="240"/>
    </row>
    <row r="154" spans="1:8" x14ac:dyDescent="0.25">
      <c r="A154" s="240" t="s">
        <v>442</v>
      </c>
      <c r="B154" s="240" t="s">
        <v>443</v>
      </c>
      <c r="C154" s="240" t="s">
        <v>154</v>
      </c>
      <c r="D154" s="240">
        <v>1874003</v>
      </c>
      <c r="E154" s="247">
        <v>44417.410416666666</v>
      </c>
      <c r="F154" s="243" t="s">
        <v>510</v>
      </c>
      <c r="G154" s="240"/>
      <c r="H154" s="240"/>
    </row>
    <row r="155" spans="1:8" x14ac:dyDescent="0.25">
      <c r="A155" s="240" t="s">
        <v>442</v>
      </c>
      <c r="B155" s="240" t="s">
        <v>443</v>
      </c>
      <c r="C155" s="240" t="s">
        <v>154</v>
      </c>
      <c r="D155" s="240">
        <v>1874008</v>
      </c>
      <c r="E155" s="247">
        <v>44417.410416666666</v>
      </c>
      <c r="F155" s="243" t="s">
        <v>510</v>
      </c>
      <c r="G155" s="240"/>
      <c r="H155" s="240"/>
    </row>
    <row r="156" spans="1:8" x14ac:dyDescent="0.25">
      <c r="A156" s="240" t="s">
        <v>442</v>
      </c>
      <c r="B156" s="240" t="s">
        <v>443</v>
      </c>
      <c r="C156" s="240" t="s">
        <v>155</v>
      </c>
      <c r="D156" s="240">
        <v>1874002</v>
      </c>
      <c r="E156" s="247">
        <v>44417.418749999997</v>
      </c>
      <c r="F156" s="243" t="s">
        <v>511</v>
      </c>
      <c r="G156" s="240"/>
      <c r="H156" s="240"/>
    </row>
    <row r="157" spans="1:8" x14ac:dyDescent="0.25">
      <c r="A157" s="240" t="s">
        <v>442</v>
      </c>
      <c r="B157" s="240" t="s">
        <v>443</v>
      </c>
      <c r="C157" s="240" t="s">
        <v>155</v>
      </c>
      <c r="D157" s="240">
        <v>1874007</v>
      </c>
      <c r="E157" s="247">
        <v>44417.418749999997</v>
      </c>
      <c r="F157" s="243" t="s">
        <v>511</v>
      </c>
      <c r="G157" s="240"/>
      <c r="H157" s="240"/>
    </row>
    <row r="158" spans="1:8" x14ac:dyDescent="0.25">
      <c r="A158" s="240" t="s">
        <v>442</v>
      </c>
      <c r="B158" s="240" t="s">
        <v>443</v>
      </c>
      <c r="C158" s="240" t="s">
        <v>376</v>
      </c>
      <c r="D158" s="240">
        <v>1874004</v>
      </c>
      <c r="E158" s="247">
        <v>44417.425000000003</v>
      </c>
      <c r="F158" s="243" t="s">
        <v>512</v>
      </c>
      <c r="G158" s="240"/>
      <c r="H158" s="240"/>
    </row>
    <row r="159" spans="1:8" x14ac:dyDescent="0.25">
      <c r="A159" s="240" t="s">
        <v>442</v>
      </c>
      <c r="B159" s="240" t="s">
        <v>443</v>
      </c>
      <c r="C159" s="240" t="s">
        <v>376</v>
      </c>
      <c r="D159" s="240">
        <v>1874009</v>
      </c>
      <c r="E159" s="247">
        <v>44417.425000000003</v>
      </c>
      <c r="F159" s="243" t="s">
        <v>512</v>
      </c>
      <c r="G159" s="240"/>
      <c r="H159" s="240"/>
    </row>
    <row r="160" spans="1:8" x14ac:dyDescent="0.25">
      <c r="A160" s="240" t="s">
        <v>442</v>
      </c>
      <c r="B160" s="240" t="s">
        <v>443</v>
      </c>
      <c r="C160" s="240" t="s">
        <v>507</v>
      </c>
      <c r="D160" s="240">
        <v>1874011</v>
      </c>
      <c r="E160" s="247">
        <v>44417.472222222219</v>
      </c>
      <c r="F160" s="243" t="s">
        <v>513</v>
      </c>
      <c r="G160" s="240"/>
      <c r="H160" s="240"/>
    </row>
    <row r="161" spans="1:8" x14ac:dyDescent="0.25">
      <c r="A161" s="240" t="s">
        <v>442</v>
      </c>
      <c r="B161" s="240" t="s">
        <v>443</v>
      </c>
      <c r="C161" s="240" t="s">
        <v>395</v>
      </c>
      <c r="D161" s="240">
        <v>1911005</v>
      </c>
      <c r="E161" s="247">
        <v>44439.373611111114</v>
      </c>
      <c r="F161" s="243" t="s">
        <v>496</v>
      </c>
      <c r="G161" s="240"/>
      <c r="H161" s="240"/>
    </row>
    <row r="162" spans="1:8" x14ac:dyDescent="0.25">
      <c r="A162" s="240" t="s">
        <v>442</v>
      </c>
      <c r="B162" s="240" t="s">
        <v>443</v>
      </c>
      <c r="C162" s="240" t="s">
        <v>338</v>
      </c>
      <c r="D162" s="240">
        <v>1911003</v>
      </c>
      <c r="E162" s="247">
        <v>44439.408333333333</v>
      </c>
      <c r="F162" s="243" t="s">
        <v>450</v>
      </c>
      <c r="G162" s="240"/>
      <c r="H162" s="240"/>
    </row>
    <row r="163" spans="1:8" x14ac:dyDescent="0.25">
      <c r="A163" s="240" t="s">
        <v>442</v>
      </c>
      <c r="B163" s="240" t="s">
        <v>443</v>
      </c>
      <c r="C163" s="240" t="s">
        <v>305</v>
      </c>
      <c r="D163" s="240">
        <v>1858005</v>
      </c>
      <c r="E163" s="247">
        <v>44439.410416666666</v>
      </c>
      <c r="F163" s="243" t="s">
        <v>510</v>
      </c>
      <c r="G163" s="240"/>
      <c r="H163" s="240"/>
    </row>
    <row r="164" spans="1:8" x14ac:dyDescent="0.25">
      <c r="A164" s="240" t="s">
        <v>442</v>
      </c>
      <c r="B164" s="240" t="s">
        <v>443</v>
      </c>
      <c r="C164" s="240" t="s">
        <v>305</v>
      </c>
      <c r="D164" s="240">
        <v>1858006</v>
      </c>
      <c r="E164" s="247">
        <v>44439.410416666666</v>
      </c>
      <c r="F164" s="243" t="s">
        <v>510</v>
      </c>
      <c r="G164" s="240"/>
      <c r="H164" s="240"/>
    </row>
    <row r="165" spans="1:8" x14ac:dyDescent="0.25">
      <c r="A165" s="240" t="s">
        <v>442</v>
      </c>
      <c r="B165" s="240" t="s">
        <v>443</v>
      </c>
      <c r="C165" s="240" t="s">
        <v>338</v>
      </c>
      <c r="D165" s="240">
        <v>1911001</v>
      </c>
      <c r="E165" s="247">
        <v>44439.415277777778</v>
      </c>
      <c r="F165" s="243" t="s">
        <v>506</v>
      </c>
      <c r="G165" s="240"/>
      <c r="H165" s="240"/>
    </row>
    <row r="166" spans="1:8" x14ac:dyDescent="0.25">
      <c r="A166" s="240" t="s">
        <v>442</v>
      </c>
      <c r="B166" s="240" t="s">
        <v>443</v>
      </c>
      <c r="C166" s="240" t="s">
        <v>335</v>
      </c>
      <c r="D166" s="240">
        <v>1911004</v>
      </c>
      <c r="E166" s="247">
        <v>44439.448611111111</v>
      </c>
      <c r="F166" s="243" t="s">
        <v>514</v>
      </c>
      <c r="G166" s="240"/>
      <c r="H166" s="240"/>
    </row>
    <row r="167" spans="1:8" x14ac:dyDescent="0.25">
      <c r="A167" s="240" t="s">
        <v>442</v>
      </c>
      <c r="B167" s="240" t="s">
        <v>443</v>
      </c>
      <c r="C167" s="240" t="s">
        <v>335</v>
      </c>
      <c r="D167" s="240">
        <v>1911002</v>
      </c>
      <c r="E167" s="247">
        <v>44439.448611111111</v>
      </c>
      <c r="F167" s="243" t="s">
        <v>514</v>
      </c>
      <c r="G167" s="240"/>
      <c r="H167" s="240"/>
    </row>
    <row r="168" spans="1:8" x14ac:dyDescent="0.25">
      <c r="A168" s="240" t="s">
        <v>442</v>
      </c>
      <c r="B168" s="240" t="s">
        <v>443</v>
      </c>
      <c r="C168" s="240" t="s">
        <v>507</v>
      </c>
      <c r="D168" s="240">
        <v>1911006</v>
      </c>
      <c r="E168" s="247">
        <v>44439.5</v>
      </c>
      <c r="F168" s="243" t="s">
        <v>445</v>
      </c>
      <c r="G168" s="240"/>
      <c r="H168" s="240"/>
    </row>
    <row r="169" spans="1:8" x14ac:dyDescent="0.25">
      <c r="A169" s="240" t="s">
        <v>442</v>
      </c>
      <c r="B169" s="240" t="s">
        <v>443</v>
      </c>
      <c r="C169" s="240" t="s">
        <v>361</v>
      </c>
      <c r="D169" s="240">
        <v>1913004</v>
      </c>
      <c r="E169" s="247">
        <v>44440.357638888891</v>
      </c>
      <c r="F169" s="243" t="s">
        <v>504</v>
      </c>
      <c r="G169" s="240"/>
      <c r="H169" s="240"/>
    </row>
    <row r="170" spans="1:8" x14ac:dyDescent="0.25">
      <c r="A170" s="240" t="s">
        <v>442</v>
      </c>
      <c r="B170" s="240" t="s">
        <v>443</v>
      </c>
      <c r="C170" s="240" t="s">
        <v>361</v>
      </c>
      <c r="D170" s="240">
        <v>1913006</v>
      </c>
      <c r="E170" s="247">
        <v>44440.357638888891</v>
      </c>
      <c r="F170" s="243" t="s">
        <v>504</v>
      </c>
      <c r="G170" s="240"/>
      <c r="H170" s="240"/>
    </row>
    <row r="171" spans="1:8" x14ac:dyDescent="0.25">
      <c r="A171" s="240" t="s">
        <v>442</v>
      </c>
      <c r="B171" s="240" t="s">
        <v>443</v>
      </c>
      <c r="C171" s="240" t="s">
        <v>361</v>
      </c>
      <c r="D171" s="240">
        <v>1913002</v>
      </c>
      <c r="E171" s="247">
        <v>44440.357638888891</v>
      </c>
      <c r="F171" s="243" t="s">
        <v>504</v>
      </c>
      <c r="G171" s="240"/>
      <c r="H171" s="240"/>
    </row>
    <row r="172" spans="1:8" x14ac:dyDescent="0.25">
      <c r="A172" s="240" t="s">
        <v>442</v>
      </c>
      <c r="B172" s="240" t="s">
        <v>443</v>
      </c>
      <c r="C172" s="240" t="s">
        <v>361</v>
      </c>
      <c r="D172" s="240">
        <v>1913005</v>
      </c>
      <c r="E172" s="247">
        <v>44440.357638888891</v>
      </c>
      <c r="F172" s="243" t="s">
        <v>504</v>
      </c>
      <c r="G172" s="240"/>
      <c r="H172" s="240"/>
    </row>
    <row r="173" spans="1:8" x14ac:dyDescent="0.25">
      <c r="A173" s="240" t="s">
        <v>442</v>
      </c>
      <c r="B173" s="240" t="s">
        <v>443</v>
      </c>
      <c r="C173" s="240" t="s">
        <v>119</v>
      </c>
      <c r="D173" s="240">
        <v>1912003</v>
      </c>
      <c r="E173" s="247">
        <v>44440.388194444444</v>
      </c>
      <c r="F173" s="243" t="s">
        <v>515</v>
      </c>
      <c r="G173" s="240"/>
      <c r="H173" s="240"/>
    </row>
    <row r="174" spans="1:8" x14ac:dyDescent="0.25">
      <c r="A174" s="240" t="s">
        <v>442</v>
      </c>
      <c r="B174" s="240" t="s">
        <v>443</v>
      </c>
      <c r="C174" s="240" t="s">
        <v>119</v>
      </c>
      <c r="D174" s="240">
        <v>1912001</v>
      </c>
      <c r="E174" s="247">
        <v>44440.388194444444</v>
      </c>
      <c r="F174" s="243" t="s">
        <v>515</v>
      </c>
      <c r="G174" s="240"/>
      <c r="H174" s="240"/>
    </row>
    <row r="175" spans="1:8" x14ac:dyDescent="0.25">
      <c r="A175" s="240" t="s">
        <v>442</v>
      </c>
      <c r="B175" s="240" t="s">
        <v>443</v>
      </c>
      <c r="C175" s="240" t="s">
        <v>170</v>
      </c>
      <c r="D175" s="240">
        <v>1914002</v>
      </c>
      <c r="E175" s="247">
        <v>44440.396527777775</v>
      </c>
      <c r="F175" s="243" t="s">
        <v>516</v>
      </c>
      <c r="G175" s="240"/>
      <c r="H175" s="240"/>
    </row>
    <row r="176" spans="1:8" x14ac:dyDescent="0.25">
      <c r="A176" s="240" t="s">
        <v>442</v>
      </c>
      <c r="B176" s="240" t="s">
        <v>443</v>
      </c>
      <c r="C176" s="240" t="s">
        <v>170</v>
      </c>
      <c r="D176" s="240">
        <v>1914007</v>
      </c>
      <c r="E176" s="247">
        <v>44440.396527777775</v>
      </c>
      <c r="F176" s="243" t="s">
        <v>516</v>
      </c>
      <c r="G176" s="240"/>
      <c r="H176" s="240"/>
    </row>
    <row r="177" spans="1:8" x14ac:dyDescent="0.25">
      <c r="A177" s="240" t="s">
        <v>442</v>
      </c>
      <c r="B177" s="240" t="s">
        <v>443</v>
      </c>
      <c r="C177" s="240" t="s">
        <v>123</v>
      </c>
      <c r="D177" s="240">
        <v>1912004</v>
      </c>
      <c r="E177" s="247">
        <v>44440.431944444441</v>
      </c>
      <c r="F177" s="243" t="s">
        <v>517</v>
      </c>
      <c r="G177" s="240"/>
      <c r="H177" s="240"/>
    </row>
    <row r="178" spans="1:8" x14ac:dyDescent="0.25">
      <c r="A178" s="240" t="s">
        <v>442</v>
      </c>
      <c r="B178" s="240" t="s">
        <v>443</v>
      </c>
      <c r="C178" s="240" t="s">
        <v>123</v>
      </c>
      <c r="D178" s="240">
        <v>1912002</v>
      </c>
      <c r="E178" s="247">
        <v>44440.431944444441</v>
      </c>
      <c r="F178" s="243" t="s">
        <v>517</v>
      </c>
      <c r="G178" s="240"/>
      <c r="H178" s="240"/>
    </row>
    <row r="179" spans="1:8" x14ac:dyDescent="0.25">
      <c r="A179" s="240" t="s">
        <v>442</v>
      </c>
      <c r="B179" s="240" t="s">
        <v>443</v>
      </c>
      <c r="C179" s="240" t="s">
        <v>353</v>
      </c>
      <c r="D179" s="240">
        <v>1914010</v>
      </c>
      <c r="E179" s="247">
        <v>44440.463194444441</v>
      </c>
      <c r="F179" s="243" t="s">
        <v>518</v>
      </c>
      <c r="G179" s="240"/>
      <c r="H179" s="240"/>
    </row>
    <row r="180" spans="1:8" x14ac:dyDescent="0.25">
      <c r="A180" s="240" t="s">
        <v>442</v>
      </c>
      <c r="B180" s="240" t="s">
        <v>443</v>
      </c>
      <c r="C180" s="240" t="s">
        <v>353</v>
      </c>
      <c r="D180" s="240">
        <v>1914005</v>
      </c>
      <c r="E180" s="247">
        <v>44440.463194444441</v>
      </c>
      <c r="F180" s="243" t="s">
        <v>518</v>
      </c>
      <c r="G180" s="240"/>
      <c r="H180" s="240"/>
    </row>
    <row r="181" spans="1:8" x14ac:dyDescent="0.25">
      <c r="A181" s="240" t="s">
        <v>442</v>
      </c>
      <c r="B181" s="240" t="s">
        <v>443</v>
      </c>
      <c r="C181" s="240" t="s">
        <v>349</v>
      </c>
      <c r="D181" s="240">
        <v>1914001</v>
      </c>
      <c r="E181" s="247">
        <v>44440.501388888886</v>
      </c>
      <c r="F181" s="243" t="s">
        <v>519</v>
      </c>
      <c r="G181" s="240"/>
      <c r="H181" s="240"/>
    </row>
    <row r="182" spans="1:8" x14ac:dyDescent="0.25">
      <c r="A182" s="240" t="s">
        <v>442</v>
      </c>
      <c r="B182" s="240" t="s">
        <v>443</v>
      </c>
      <c r="C182" s="240" t="s">
        <v>349</v>
      </c>
      <c r="D182" s="240">
        <v>1914006</v>
      </c>
      <c r="E182" s="247">
        <v>44440.501388888886</v>
      </c>
      <c r="F182" s="243" t="s">
        <v>519</v>
      </c>
      <c r="G182" s="240"/>
      <c r="H182" s="240"/>
    </row>
    <row r="183" spans="1:8" x14ac:dyDescent="0.25">
      <c r="A183" s="240" t="s">
        <v>442</v>
      </c>
      <c r="B183" s="240" t="s">
        <v>443</v>
      </c>
      <c r="C183" s="240" t="s">
        <v>475</v>
      </c>
      <c r="D183" s="240">
        <v>1912006</v>
      </c>
      <c r="E183" s="247">
        <v>44440.565972222219</v>
      </c>
      <c r="F183" s="243" t="s">
        <v>520</v>
      </c>
      <c r="G183" s="240"/>
      <c r="H183" s="240"/>
    </row>
    <row r="184" spans="1:8" x14ac:dyDescent="0.25">
      <c r="A184" s="240" t="s">
        <v>442</v>
      </c>
      <c r="B184" s="240" t="s">
        <v>443</v>
      </c>
      <c r="C184" s="240" t="s">
        <v>475</v>
      </c>
      <c r="D184" s="240">
        <v>1912005</v>
      </c>
      <c r="E184" s="247">
        <v>44440.565972222219</v>
      </c>
      <c r="F184" s="243" t="s">
        <v>520</v>
      </c>
      <c r="G184" s="240"/>
      <c r="H184" s="240"/>
    </row>
    <row r="185" spans="1:8" x14ac:dyDescent="0.25">
      <c r="A185" s="240" t="s">
        <v>442</v>
      </c>
      <c r="B185" s="240" t="s">
        <v>443</v>
      </c>
      <c r="C185" s="240" t="s">
        <v>140</v>
      </c>
      <c r="D185" s="240">
        <v>1920007</v>
      </c>
      <c r="E185" s="247">
        <v>44446.321527777778</v>
      </c>
      <c r="F185" s="243" t="s">
        <v>521</v>
      </c>
      <c r="G185" s="240"/>
      <c r="H185" s="240"/>
    </row>
    <row r="186" spans="1:8" x14ac:dyDescent="0.25">
      <c r="A186" s="240" t="s">
        <v>442</v>
      </c>
      <c r="B186" s="240" t="s">
        <v>443</v>
      </c>
      <c r="C186" s="240" t="s">
        <v>140</v>
      </c>
      <c r="D186" s="240">
        <v>1920002</v>
      </c>
      <c r="E186" s="247">
        <v>44446.321527777778</v>
      </c>
      <c r="F186" s="243" t="s">
        <v>521</v>
      </c>
      <c r="G186" s="240"/>
      <c r="H186" s="240"/>
    </row>
    <row r="187" spans="1:8" x14ac:dyDescent="0.25">
      <c r="A187" s="240" t="s">
        <v>442</v>
      </c>
      <c r="B187" s="240" t="s">
        <v>443</v>
      </c>
      <c r="C187" s="240" t="s">
        <v>142</v>
      </c>
      <c r="D187" s="240">
        <v>1920005</v>
      </c>
      <c r="E187" s="247">
        <v>44446.37222222222</v>
      </c>
      <c r="F187" s="243" t="s">
        <v>522</v>
      </c>
      <c r="G187" s="240"/>
      <c r="H187" s="240"/>
    </row>
    <row r="188" spans="1:8" x14ac:dyDescent="0.25">
      <c r="A188" s="240" t="s">
        <v>442</v>
      </c>
      <c r="B188" s="240" t="s">
        <v>443</v>
      </c>
      <c r="C188" s="240" t="s">
        <v>142</v>
      </c>
      <c r="D188" s="240">
        <v>1920010</v>
      </c>
      <c r="E188" s="247">
        <v>44446.37222222222</v>
      </c>
      <c r="F188" s="243" t="s">
        <v>522</v>
      </c>
      <c r="G188" s="240"/>
      <c r="H188" s="240"/>
    </row>
    <row r="189" spans="1:8" x14ac:dyDescent="0.25">
      <c r="A189" s="240" t="s">
        <v>442</v>
      </c>
      <c r="B189" s="240" t="s">
        <v>443</v>
      </c>
      <c r="C189" s="240" t="s">
        <v>320</v>
      </c>
      <c r="D189" s="240">
        <v>1922003</v>
      </c>
      <c r="E189" s="247">
        <v>44446.37777777778</v>
      </c>
      <c r="F189" s="243" t="s">
        <v>481</v>
      </c>
      <c r="G189" s="240"/>
      <c r="H189" s="240"/>
    </row>
    <row r="190" spans="1:8" x14ac:dyDescent="0.25">
      <c r="A190" s="240" t="s">
        <v>442</v>
      </c>
      <c r="B190" s="240" t="s">
        <v>443</v>
      </c>
      <c r="C190" s="240" t="s">
        <v>320</v>
      </c>
      <c r="D190" s="240">
        <v>1922007</v>
      </c>
      <c r="E190" s="247">
        <v>44446.37777777778</v>
      </c>
      <c r="F190" s="243" t="s">
        <v>481</v>
      </c>
      <c r="G190" s="240"/>
      <c r="H190" s="240"/>
    </row>
    <row r="191" spans="1:8" x14ac:dyDescent="0.25">
      <c r="A191" s="240" t="s">
        <v>442</v>
      </c>
      <c r="B191" s="240" t="s">
        <v>443</v>
      </c>
      <c r="C191" s="240" t="s">
        <v>475</v>
      </c>
      <c r="D191" s="240">
        <v>1922010</v>
      </c>
      <c r="E191" s="247">
        <v>44446.402777777781</v>
      </c>
      <c r="F191" s="243" t="s">
        <v>523</v>
      </c>
      <c r="G191" s="240"/>
      <c r="H191" s="240"/>
    </row>
    <row r="192" spans="1:8" x14ac:dyDescent="0.25">
      <c r="A192" s="240" t="s">
        <v>442</v>
      </c>
      <c r="B192" s="240" t="s">
        <v>443</v>
      </c>
      <c r="C192" s="240" t="s">
        <v>475</v>
      </c>
      <c r="D192" s="240">
        <v>1922009</v>
      </c>
      <c r="E192" s="247">
        <v>44446.402777777781</v>
      </c>
      <c r="F192" s="243" t="s">
        <v>523</v>
      </c>
      <c r="G192" s="240"/>
      <c r="H192" s="240"/>
    </row>
    <row r="193" spans="1:8" x14ac:dyDescent="0.25">
      <c r="A193" s="240" t="s">
        <v>442</v>
      </c>
      <c r="B193" s="240" t="s">
        <v>443</v>
      </c>
      <c r="C193" s="240" t="s">
        <v>313</v>
      </c>
      <c r="D193" s="240">
        <v>1922001</v>
      </c>
      <c r="E193" s="247">
        <v>44446.40902777778</v>
      </c>
      <c r="F193" s="243" t="s">
        <v>524</v>
      </c>
      <c r="G193" s="240"/>
      <c r="H193" s="240"/>
    </row>
    <row r="194" spans="1:8" x14ac:dyDescent="0.25">
      <c r="A194" s="240" t="s">
        <v>442</v>
      </c>
      <c r="B194" s="240" t="s">
        <v>443</v>
      </c>
      <c r="C194" s="240" t="s">
        <v>313</v>
      </c>
      <c r="D194" s="240">
        <v>1922005</v>
      </c>
      <c r="E194" s="247">
        <v>44446.40902777778</v>
      </c>
      <c r="F194" s="243" t="s">
        <v>524</v>
      </c>
      <c r="G194" s="240"/>
      <c r="H194" s="240"/>
    </row>
    <row r="195" spans="1:8" x14ac:dyDescent="0.25">
      <c r="A195" s="240" t="s">
        <v>442</v>
      </c>
      <c r="B195" s="240" t="s">
        <v>443</v>
      </c>
      <c r="C195" s="240" t="s">
        <v>342</v>
      </c>
      <c r="D195" s="240">
        <v>1920004</v>
      </c>
      <c r="E195" s="247">
        <v>44446.434027777781</v>
      </c>
      <c r="F195" s="243" t="s">
        <v>525</v>
      </c>
      <c r="G195" s="240"/>
      <c r="H195" s="240"/>
    </row>
    <row r="196" spans="1:8" x14ac:dyDescent="0.25">
      <c r="A196" s="240" t="s">
        <v>442</v>
      </c>
      <c r="B196" s="240" t="s">
        <v>443</v>
      </c>
      <c r="C196" s="240" t="s">
        <v>342</v>
      </c>
      <c r="D196" s="240">
        <v>1920011</v>
      </c>
      <c r="E196" s="247">
        <v>44446.434027777781</v>
      </c>
      <c r="F196" s="243" t="s">
        <v>525</v>
      </c>
      <c r="G196" s="240"/>
      <c r="H196" s="240"/>
    </row>
    <row r="197" spans="1:8" x14ac:dyDescent="0.25">
      <c r="A197" s="240" t="s">
        <v>442</v>
      </c>
      <c r="B197" s="240" t="s">
        <v>443</v>
      </c>
      <c r="C197" s="240" t="s">
        <v>342</v>
      </c>
      <c r="D197" s="240">
        <v>1920009</v>
      </c>
      <c r="E197" s="247">
        <v>44446.434027777781</v>
      </c>
      <c r="F197" s="243" t="s">
        <v>525</v>
      </c>
      <c r="G197" s="240"/>
      <c r="H197" s="240"/>
    </row>
    <row r="198" spans="1:8" x14ac:dyDescent="0.25">
      <c r="A198" s="240" t="s">
        <v>442</v>
      </c>
      <c r="B198" s="240" t="s">
        <v>443</v>
      </c>
      <c r="C198" s="240" t="s">
        <v>342</v>
      </c>
      <c r="D198" s="240">
        <v>1920012</v>
      </c>
      <c r="E198" s="247">
        <v>44446.434027777781</v>
      </c>
      <c r="F198" s="243" t="s">
        <v>525</v>
      </c>
      <c r="G198" s="240"/>
      <c r="H198" s="240"/>
    </row>
    <row r="199" spans="1:8" x14ac:dyDescent="0.25">
      <c r="A199" s="240" t="s">
        <v>442</v>
      </c>
      <c r="B199" s="240" t="s">
        <v>443</v>
      </c>
      <c r="C199" s="240" t="s">
        <v>108</v>
      </c>
      <c r="D199" s="240">
        <v>1922004</v>
      </c>
      <c r="E199" s="247">
        <v>44446.457638888889</v>
      </c>
      <c r="F199" s="243" t="s">
        <v>526</v>
      </c>
      <c r="G199" s="240"/>
      <c r="H199" s="240"/>
    </row>
    <row r="200" spans="1:8" x14ac:dyDescent="0.25">
      <c r="A200" s="240" t="s">
        <v>442</v>
      </c>
      <c r="B200" s="240" t="s">
        <v>443</v>
      </c>
      <c r="C200" s="240" t="s">
        <v>108</v>
      </c>
      <c r="D200" s="240">
        <v>1922008</v>
      </c>
      <c r="E200" s="247">
        <v>44446.457638888889</v>
      </c>
      <c r="F200" s="243" t="s">
        <v>526</v>
      </c>
      <c r="G200" s="240"/>
      <c r="H200" s="240"/>
    </row>
    <row r="201" spans="1:8" x14ac:dyDescent="0.25">
      <c r="A201" s="240" t="s">
        <v>442</v>
      </c>
      <c r="B201" s="240" t="s">
        <v>443</v>
      </c>
      <c r="C201" s="240" t="s">
        <v>327</v>
      </c>
      <c r="D201" s="240">
        <v>1921008</v>
      </c>
      <c r="E201" s="247">
        <v>44448.370833333334</v>
      </c>
      <c r="F201" s="243" t="s">
        <v>460</v>
      </c>
      <c r="G201" s="240"/>
      <c r="H201" s="240"/>
    </row>
    <row r="202" spans="1:8" x14ac:dyDescent="0.25">
      <c r="A202" s="240" t="s">
        <v>442</v>
      </c>
      <c r="B202" s="240" t="s">
        <v>443</v>
      </c>
      <c r="C202" s="240" t="s">
        <v>327</v>
      </c>
      <c r="D202" s="240">
        <v>1921004</v>
      </c>
      <c r="E202" s="247">
        <v>44448.370833333334</v>
      </c>
      <c r="F202" s="243" t="s">
        <v>460</v>
      </c>
      <c r="G202" s="240"/>
      <c r="H202" s="240"/>
    </row>
    <row r="203" spans="1:8" x14ac:dyDescent="0.25">
      <c r="A203" s="240" t="s">
        <v>442</v>
      </c>
      <c r="B203" s="240" t="s">
        <v>443</v>
      </c>
      <c r="C203" s="240" t="s">
        <v>327</v>
      </c>
      <c r="D203" s="240">
        <v>1921001</v>
      </c>
      <c r="E203" s="247">
        <v>44448.370833333334</v>
      </c>
      <c r="F203" s="243" t="s">
        <v>460</v>
      </c>
      <c r="G203" s="240"/>
      <c r="H203" s="240"/>
    </row>
    <row r="204" spans="1:8" x14ac:dyDescent="0.25">
      <c r="A204" s="240" t="s">
        <v>442</v>
      </c>
      <c r="B204" s="240" t="s">
        <v>443</v>
      </c>
      <c r="C204" s="240" t="s">
        <v>327</v>
      </c>
      <c r="D204" s="240">
        <v>1921007</v>
      </c>
      <c r="E204" s="247">
        <v>44448.370833333334</v>
      </c>
      <c r="F204" s="243" t="s">
        <v>460</v>
      </c>
      <c r="G204" s="240"/>
      <c r="H204" s="240"/>
    </row>
    <row r="205" spans="1:8" x14ac:dyDescent="0.25">
      <c r="A205" s="240" t="s">
        <v>442</v>
      </c>
      <c r="B205" s="240" t="s">
        <v>443</v>
      </c>
      <c r="C205" s="240" t="s">
        <v>150</v>
      </c>
      <c r="D205" s="240">
        <v>1853004</v>
      </c>
      <c r="E205" s="247">
        <v>44448.37222222222</v>
      </c>
      <c r="F205" s="243" t="s">
        <v>522</v>
      </c>
      <c r="G205" s="240"/>
      <c r="H205" s="240"/>
    </row>
    <row r="206" spans="1:8" x14ac:dyDescent="0.25">
      <c r="A206" s="240" t="s">
        <v>442</v>
      </c>
      <c r="B206" s="240" t="s">
        <v>443</v>
      </c>
      <c r="C206" s="240" t="s">
        <v>150</v>
      </c>
      <c r="D206" s="240">
        <v>1853001</v>
      </c>
      <c r="E206" s="247">
        <v>44448.37222222222</v>
      </c>
      <c r="F206" s="243" t="s">
        <v>522</v>
      </c>
      <c r="G206" s="240"/>
      <c r="H206" s="240"/>
    </row>
    <row r="207" spans="1:8" x14ac:dyDescent="0.25">
      <c r="A207" s="240" t="s">
        <v>442</v>
      </c>
      <c r="B207" s="240" t="s">
        <v>443</v>
      </c>
      <c r="C207" s="240" t="s">
        <v>112</v>
      </c>
      <c r="D207" s="240">
        <v>1857001</v>
      </c>
      <c r="E207" s="247">
        <v>44448.373611111114</v>
      </c>
      <c r="F207" s="243" t="s">
        <v>496</v>
      </c>
      <c r="G207" s="240"/>
      <c r="H207" s="240"/>
    </row>
    <row r="208" spans="1:8" x14ac:dyDescent="0.25">
      <c r="A208" s="240" t="s">
        <v>442</v>
      </c>
      <c r="B208" s="240" t="s">
        <v>443</v>
      </c>
      <c r="C208" s="240" t="s">
        <v>112</v>
      </c>
      <c r="D208" s="240">
        <v>1857004</v>
      </c>
      <c r="E208" s="247">
        <v>44448.373611111114</v>
      </c>
      <c r="F208" s="243" t="s">
        <v>496</v>
      </c>
      <c r="G208" s="240"/>
      <c r="H208" s="240"/>
    </row>
    <row r="209" spans="1:8" x14ac:dyDescent="0.25">
      <c r="A209" s="240" t="s">
        <v>442</v>
      </c>
      <c r="B209" s="240" t="s">
        <v>443</v>
      </c>
      <c r="C209" s="240" t="s">
        <v>475</v>
      </c>
      <c r="D209" s="240">
        <v>1853008</v>
      </c>
      <c r="E209" s="247">
        <v>44448.410416666666</v>
      </c>
      <c r="F209" s="243" t="s">
        <v>510</v>
      </c>
      <c r="G209" s="240"/>
      <c r="H209" s="240"/>
    </row>
    <row r="210" spans="1:8" x14ac:dyDescent="0.25">
      <c r="A210" s="240" t="s">
        <v>442</v>
      </c>
      <c r="B210" s="240" t="s">
        <v>443</v>
      </c>
      <c r="C210" s="240" t="s">
        <v>475</v>
      </c>
      <c r="D210" s="240">
        <v>1853007</v>
      </c>
      <c r="E210" s="247">
        <v>44448.410416666666</v>
      </c>
      <c r="F210" s="243" t="s">
        <v>510</v>
      </c>
      <c r="G210" s="240"/>
      <c r="H210" s="240"/>
    </row>
    <row r="211" spans="1:8" x14ac:dyDescent="0.25">
      <c r="A211" s="240" t="s">
        <v>442</v>
      </c>
      <c r="B211" s="240" t="s">
        <v>443</v>
      </c>
      <c r="C211" s="240" t="s">
        <v>113</v>
      </c>
      <c r="D211" s="240">
        <v>1857008</v>
      </c>
      <c r="E211" s="247">
        <v>44448.417361111111</v>
      </c>
      <c r="F211" s="243" t="s">
        <v>527</v>
      </c>
      <c r="G211" s="240"/>
      <c r="H211" s="240"/>
    </row>
    <row r="212" spans="1:8" x14ac:dyDescent="0.25">
      <c r="A212" s="240" t="s">
        <v>442</v>
      </c>
      <c r="B212" s="240" t="s">
        <v>443</v>
      </c>
      <c r="C212" s="240" t="s">
        <v>113</v>
      </c>
      <c r="D212" s="240">
        <v>1857005</v>
      </c>
      <c r="E212" s="247">
        <v>44448.417361111111</v>
      </c>
      <c r="F212" s="243" t="s">
        <v>527</v>
      </c>
      <c r="G212" s="240"/>
      <c r="H212" s="240"/>
    </row>
    <row r="213" spans="1:8" x14ac:dyDescent="0.25">
      <c r="A213" s="240" t="s">
        <v>442</v>
      </c>
      <c r="B213" s="240" t="s">
        <v>443</v>
      </c>
      <c r="C213" s="240" t="s">
        <v>113</v>
      </c>
      <c r="D213" s="240">
        <v>1857007</v>
      </c>
      <c r="E213" s="247">
        <v>44448.417361111111</v>
      </c>
      <c r="F213" s="243" t="s">
        <v>527</v>
      </c>
      <c r="G213" s="240"/>
      <c r="H213" s="240"/>
    </row>
    <row r="214" spans="1:8" x14ac:dyDescent="0.25">
      <c r="A214" s="240" t="s">
        <v>442</v>
      </c>
      <c r="B214" s="240" t="s">
        <v>443</v>
      </c>
      <c r="C214" s="240" t="s">
        <v>113</v>
      </c>
      <c r="D214" s="240">
        <v>1857002</v>
      </c>
      <c r="E214" s="247">
        <v>44448.417361111111</v>
      </c>
      <c r="F214" s="243" t="s">
        <v>527</v>
      </c>
      <c r="G214" s="240"/>
      <c r="H214" s="240"/>
    </row>
    <row r="215" spans="1:8" x14ac:dyDescent="0.25">
      <c r="A215" s="240" t="s">
        <v>442</v>
      </c>
      <c r="B215" s="240" t="s">
        <v>443</v>
      </c>
      <c r="C215" s="240" t="s">
        <v>295</v>
      </c>
      <c r="D215" s="240">
        <v>1853005</v>
      </c>
      <c r="E215" s="247">
        <v>44448.42083333333</v>
      </c>
      <c r="F215" s="243" t="s">
        <v>528</v>
      </c>
      <c r="G215" s="240"/>
      <c r="H215" s="240"/>
    </row>
    <row r="216" spans="1:8" x14ac:dyDescent="0.25">
      <c r="A216" s="240" t="s">
        <v>442</v>
      </c>
      <c r="B216" s="240" t="s">
        <v>443</v>
      </c>
      <c r="C216" s="240" t="s">
        <v>295</v>
      </c>
      <c r="D216" s="240">
        <v>1853002</v>
      </c>
      <c r="E216" s="247">
        <v>44448.42083333333</v>
      </c>
      <c r="F216" s="243" t="s">
        <v>528</v>
      </c>
      <c r="G216" s="240"/>
      <c r="H216" s="240"/>
    </row>
    <row r="217" spans="1:8" x14ac:dyDescent="0.25">
      <c r="A217" s="240" t="s">
        <v>442</v>
      </c>
      <c r="B217" s="240" t="s">
        <v>443</v>
      </c>
      <c r="C217" s="240" t="s">
        <v>317</v>
      </c>
      <c r="D217" s="240">
        <v>1921003</v>
      </c>
      <c r="E217" s="247">
        <v>44448.42291666667</v>
      </c>
      <c r="F217" s="243" t="s">
        <v>468</v>
      </c>
      <c r="G217" s="240"/>
      <c r="H217" s="240"/>
    </row>
    <row r="218" spans="1:8" x14ac:dyDescent="0.25">
      <c r="A218" s="240" t="s">
        <v>442</v>
      </c>
      <c r="B218" s="240" t="s">
        <v>443</v>
      </c>
      <c r="C218" s="240" t="s">
        <v>317</v>
      </c>
      <c r="D218" s="240">
        <v>1921006</v>
      </c>
      <c r="E218" s="247">
        <v>44448.42291666667</v>
      </c>
      <c r="F218" s="243" t="s">
        <v>468</v>
      </c>
      <c r="G218" s="240"/>
      <c r="H218" s="240"/>
    </row>
    <row r="219" spans="1:8" x14ac:dyDescent="0.25">
      <c r="A219" s="240" t="s">
        <v>442</v>
      </c>
      <c r="B219" s="240" t="s">
        <v>443</v>
      </c>
      <c r="C219" s="240" t="s">
        <v>299</v>
      </c>
      <c r="D219" s="240">
        <v>1853006</v>
      </c>
      <c r="E219" s="247">
        <v>44448.448611111111</v>
      </c>
      <c r="F219" s="243" t="s">
        <v>514</v>
      </c>
      <c r="G219" s="240"/>
      <c r="H219" s="240"/>
    </row>
    <row r="220" spans="1:8" x14ac:dyDescent="0.25">
      <c r="A220" s="240" t="s">
        <v>442</v>
      </c>
      <c r="B220" s="240" t="s">
        <v>443</v>
      </c>
      <c r="C220" s="240" t="s">
        <v>299</v>
      </c>
      <c r="D220" s="240">
        <v>1853003</v>
      </c>
      <c r="E220" s="247">
        <v>44448.448611111111</v>
      </c>
      <c r="F220" s="243" t="s">
        <v>514</v>
      </c>
      <c r="G220" s="240"/>
      <c r="H220" s="240"/>
    </row>
    <row r="221" spans="1:8" x14ac:dyDescent="0.25">
      <c r="A221" s="240" t="s">
        <v>442</v>
      </c>
      <c r="B221" s="240" t="s">
        <v>443</v>
      </c>
      <c r="C221" s="240" t="s">
        <v>311</v>
      </c>
      <c r="D221" s="240">
        <v>1921002</v>
      </c>
      <c r="E221" s="247">
        <v>44448.459722222222</v>
      </c>
      <c r="F221" s="243" t="s">
        <v>529</v>
      </c>
      <c r="G221" s="240"/>
      <c r="H221" s="240"/>
    </row>
    <row r="222" spans="1:8" x14ac:dyDescent="0.25">
      <c r="A222" s="240" t="s">
        <v>442</v>
      </c>
      <c r="B222" s="240" t="s">
        <v>443</v>
      </c>
      <c r="C222" s="240" t="s">
        <v>311</v>
      </c>
      <c r="D222" s="240">
        <v>1921005</v>
      </c>
      <c r="E222" s="247">
        <v>44448.459722222222</v>
      </c>
      <c r="F222" s="243" t="s">
        <v>529</v>
      </c>
      <c r="G222" s="240"/>
      <c r="H222" s="240"/>
    </row>
    <row r="223" spans="1:8" x14ac:dyDescent="0.25">
      <c r="A223" s="240" t="s">
        <v>442</v>
      </c>
      <c r="B223" s="240" t="s">
        <v>443</v>
      </c>
      <c r="C223" s="240" t="s">
        <v>333</v>
      </c>
      <c r="D223" s="240">
        <v>1857006</v>
      </c>
      <c r="E223" s="247">
        <v>44448.486111111109</v>
      </c>
      <c r="F223" s="243" t="s">
        <v>530</v>
      </c>
      <c r="G223" s="240"/>
      <c r="H223" s="240"/>
    </row>
    <row r="224" spans="1:8" x14ac:dyDescent="0.25">
      <c r="A224" s="240" t="s">
        <v>442</v>
      </c>
      <c r="B224" s="240" t="s">
        <v>443</v>
      </c>
      <c r="C224" s="240" t="s">
        <v>333</v>
      </c>
      <c r="D224" s="240">
        <v>1857003</v>
      </c>
      <c r="E224" s="247">
        <v>44448.486111111109</v>
      </c>
      <c r="F224" s="243" t="s">
        <v>530</v>
      </c>
      <c r="G224" s="240"/>
      <c r="H224" s="240"/>
    </row>
    <row r="225" spans="1:8" x14ac:dyDescent="0.25">
      <c r="A225" s="240" t="s">
        <v>442</v>
      </c>
      <c r="B225" s="240" t="s">
        <v>443</v>
      </c>
      <c r="C225" s="240" t="s">
        <v>124</v>
      </c>
      <c r="D225" s="240">
        <v>1934005</v>
      </c>
      <c r="E225" s="247">
        <v>44452.352083333331</v>
      </c>
      <c r="F225" s="243" t="s">
        <v>531</v>
      </c>
      <c r="G225" s="240"/>
      <c r="H225" s="240"/>
    </row>
    <row r="226" spans="1:8" x14ac:dyDescent="0.25">
      <c r="A226" s="240" t="s">
        <v>442</v>
      </c>
      <c r="B226" s="240" t="s">
        <v>443</v>
      </c>
      <c r="C226" s="240" t="s">
        <v>124</v>
      </c>
      <c r="D226" s="240">
        <v>1934001</v>
      </c>
      <c r="E226" s="247">
        <v>44452.352083333331</v>
      </c>
      <c r="F226" s="243" t="s">
        <v>531</v>
      </c>
      <c r="G226" s="240"/>
      <c r="H226" s="240"/>
    </row>
    <row r="227" spans="1:8" x14ac:dyDescent="0.25">
      <c r="A227" s="240" t="s">
        <v>442</v>
      </c>
      <c r="B227" s="240" t="s">
        <v>443</v>
      </c>
      <c r="C227" s="240" t="s">
        <v>344</v>
      </c>
      <c r="D227" s="240">
        <v>1934002</v>
      </c>
      <c r="E227" s="247">
        <v>44452.406944444447</v>
      </c>
      <c r="F227" s="243" t="s">
        <v>532</v>
      </c>
      <c r="G227" s="240"/>
      <c r="H227" s="240"/>
    </row>
    <row r="228" spans="1:8" x14ac:dyDescent="0.25">
      <c r="A228" s="240" t="s">
        <v>442</v>
      </c>
      <c r="B228" s="240" t="s">
        <v>443</v>
      </c>
      <c r="C228" s="240" t="s">
        <v>344</v>
      </c>
      <c r="D228" s="240">
        <v>1934006</v>
      </c>
      <c r="E228" s="247">
        <v>44452.406944444447</v>
      </c>
      <c r="F228" s="243" t="s">
        <v>532</v>
      </c>
      <c r="G228" s="240"/>
      <c r="H228" s="240"/>
    </row>
    <row r="229" spans="1:8" x14ac:dyDescent="0.25">
      <c r="A229" s="240" t="s">
        <v>442</v>
      </c>
      <c r="B229" s="240" t="s">
        <v>443</v>
      </c>
      <c r="C229" s="240" t="s">
        <v>507</v>
      </c>
      <c r="D229" s="240">
        <v>1934009</v>
      </c>
      <c r="E229" s="247">
        <v>44452.410416666666</v>
      </c>
      <c r="F229" s="243" t="s">
        <v>510</v>
      </c>
      <c r="G229" s="240"/>
      <c r="H229" s="240"/>
    </row>
    <row r="230" spans="1:8" x14ac:dyDescent="0.25">
      <c r="A230" s="240" t="s">
        <v>442</v>
      </c>
      <c r="B230" s="240" t="s">
        <v>443</v>
      </c>
      <c r="C230" s="240" t="s">
        <v>345</v>
      </c>
      <c r="D230" s="240">
        <v>1934007</v>
      </c>
      <c r="E230" s="247">
        <v>44452.428472222222</v>
      </c>
      <c r="F230" s="243" t="s">
        <v>533</v>
      </c>
      <c r="G230" s="240"/>
      <c r="H230" s="240"/>
    </row>
    <row r="231" spans="1:8" x14ac:dyDescent="0.25">
      <c r="A231" s="240" t="s">
        <v>442</v>
      </c>
      <c r="B231" s="240" t="s">
        <v>443</v>
      </c>
      <c r="C231" s="240" t="s">
        <v>345</v>
      </c>
      <c r="D231" s="240">
        <v>1934003</v>
      </c>
      <c r="E231" s="247">
        <v>44452.428472222222</v>
      </c>
      <c r="F231" s="243" t="s">
        <v>533</v>
      </c>
      <c r="G231" s="240"/>
      <c r="H231" s="240"/>
    </row>
    <row r="232" spans="1:8" x14ac:dyDescent="0.25">
      <c r="A232" s="240" t="s">
        <v>442</v>
      </c>
      <c r="B232" s="240" t="s">
        <v>443</v>
      </c>
      <c r="C232" s="240" t="s">
        <v>340</v>
      </c>
      <c r="D232" s="240">
        <v>1934004</v>
      </c>
      <c r="E232" s="247">
        <v>44452.456250000003</v>
      </c>
      <c r="F232" s="243" t="s">
        <v>534</v>
      </c>
      <c r="G232" s="240"/>
      <c r="H232" s="240"/>
    </row>
    <row r="233" spans="1:8" x14ac:dyDescent="0.25">
      <c r="A233" s="240" t="s">
        <v>442</v>
      </c>
      <c r="B233" s="240" t="s">
        <v>443</v>
      </c>
      <c r="C233" s="240" t="s">
        <v>340</v>
      </c>
      <c r="D233" s="240">
        <v>1934008</v>
      </c>
      <c r="E233" s="247">
        <v>44452.456250000003</v>
      </c>
      <c r="F233" s="243" t="s">
        <v>534</v>
      </c>
      <c r="G233" s="240"/>
      <c r="H233" s="240"/>
    </row>
    <row r="234" spans="1:8" x14ac:dyDescent="0.25">
      <c r="A234" s="240" t="s">
        <v>442</v>
      </c>
      <c r="B234" s="240" t="s">
        <v>443</v>
      </c>
      <c r="C234" s="240" t="s">
        <v>356</v>
      </c>
      <c r="D234" s="240">
        <v>1935002</v>
      </c>
      <c r="E234" s="247">
        <v>44453.34652777778</v>
      </c>
      <c r="F234" s="243" t="s">
        <v>535</v>
      </c>
      <c r="G234" s="240"/>
      <c r="H234" s="240"/>
    </row>
    <row r="235" spans="1:8" x14ac:dyDescent="0.25">
      <c r="A235" s="240" t="s">
        <v>442</v>
      </c>
      <c r="B235" s="240" t="s">
        <v>443</v>
      </c>
      <c r="C235" s="240" t="s">
        <v>356</v>
      </c>
      <c r="D235" s="240">
        <v>1935008</v>
      </c>
      <c r="E235" s="247">
        <v>44453.34652777778</v>
      </c>
      <c r="F235" s="243" t="s">
        <v>535</v>
      </c>
      <c r="G235" s="240"/>
      <c r="H235" s="240"/>
    </row>
    <row r="236" spans="1:8" x14ac:dyDescent="0.25">
      <c r="A236" s="240" t="s">
        <v>442</v>
      </c>
      <c r="B236" s="240" t="s">
        <v>443</v>
      </c>
      <c r="C236" s="240" t="s">
        <v>162</v>
      </c>
      <c r="D236" s="240">
        <v>1935007</v>
      </c>
      <c r="E236" s="247">
        <v>44453.365972222222</v>
      </c>
      <c r="F236" s="243" t="s">
        <v>505</v>
      </c>
      <c r="G236" s="240"/>
      <c r="H236" s="240"/>
    </row>
    <row r="237" spans="1:8" x14ac:dyDescent="0.25">
      <c r="A237" s="240" t="s">
        <v>442</v>
      </c>
      <c r="B237" s="240" t="s">
        <v>443</v>
      </c>
      <c r="C237" s="240" t="s">
        <v>162</v>
      </c>
      <c r="D237" s="240">
        <v>1935001</v>
      </c>
      <c r="E237" s="247">
        <v>44453.365972222222</v>
      </c>
      <c r="F237" s="243" t="s">
        <v>505</v>
      </c>
      <c r="G237" s="240"/>
      <c r="H237" s="240"/>
    </row>
    <row r="238" spans="1:8" x14ac:dyDescent="0.25">
      <c r="A238" s="240" t="s">
        <v>442</v>
      </c>
      <c r="B238" s="240" t="s">
        <v>443</v>
      </c>
      <c r="C238" s="240" t="s">
        <v>365</v>
      </c>
      <c r="D238" s="240">
        <v>1935005</v>
      </c>
      <c r="E238" s="247">
        <v>44453.393055555556</v>
      </c>
      <c r="F238" s="243" t="s">
        <v>536</v>
      </c>
      <c r="G238" s="240"/>
      <c r="H238" s="240"/>
    </row>
    <row r="239" spans="1:8" x14ac:dyDescent="0.25">
      <c r="A239" s="240" t="s">
        <v>442</v>
      </c>
      <c r="B239" s="240" t="s">
        <v>443</v>
      </c>
      <c r="C239" s="240" t="s">
        <v>365</v>
      </c>
      <c r="D239" s="240">
        <v>1935011</v>
      </c>
      <c r="E239" s="247">
        <v>44453.393055555556</v>
      </c>
      <c r="F239" s="243" t="s">
        <v>536</v>
      </c>
      <c r="G239" s="240"/>
      <c r="H239" s="240"/>
    </row>
    <row r="240" spans="1:8" x14ac:dyDescent="0.25">
      <c r="A240" s="240" t="s">
        <v>442</v>
      </c>
      <c r="B240" s="240" t="s">
        <v>443</v>
      </c>
      <c r="C240" s="240" t="s">
        <v>160</v>
      </c>
      <c r="D240" s="240">
        <v>1935003</v>
      </c>
      <c r="E240" s="247">
        <v>44453.406944444447</v>
      </c>
      <c r="F240" s="243" t="s">
        <v>532</v>
      </c>
      <c r="G240" s="240"/>
      <c r="H240" s="240"/>
    </row>
    <row r="241" spans="1:8" x14ac:dyDescent="0.25">
      <c r="A241" s="240" t="s">
        <v>442</v>
      </c>
      <c r="B241" s="240" t="s">
        <v>443</v>
      </c>
      <c r="C241" s="240" t="s">
        <v>160</v>
      </c>
      <c r="D241" s="240">
        <v>1935009</v>
      </c>
      <c r="E241" s="247">
        <v>44453.406944444447</v>
      </c>
      <c r="F241" s="243" t="s">
        <v>532</v>
      </c>
      <c r="G241" s="240"/>
      <c r="H241" s="240"/>
    </row>
    <row r="242" spans="1:8" x14ac:dyDescent="0.25">
      <c r="A242" s="240" t="s">
        <v>442</v>
      </c>
      <c r="B242" s="240" t="s">
        <v>443</v>
      </c>
      <c r="C242" s="240" t="s">
        <v>166</v>
      </c>
      <c r="D242" s="240">
        <v>1935012</v>
      </c>
      <c r="E242" s="247">
        <v>44453.420138888891</v>
      </c>
      <c r="F242" s="243" t="s">
        <v>448</v>
      </c>
      <c r="G242" s="240"/>
      <c r="H242" s="240"/>
    </row>
    <row r="243" spans="1:8" x14ac:dyDescent="0.25">
      <c r="A243" s="240" t="s">
        <v>442</v>
      </c>
      <c r="B243" s="240" t="s">
        <v>443</v>
      </c>
      <c r="C243" s="240" t="s">
        <v>166</v>
      </c>
      <c r="D243" s="240">
        <v>1935006</v>
      </c>
      <c r="E243" s="247">
        <v>44453.420138888891</v>
      </c>
      <c r="F243" s="243" t="s">
        <v>448</v>
      </c>
      <c r="G243" s="240"/>
      <c r="H243" s="240"/>
    </row>
    <row r="244" spans="1:8" x14ac:dyDescent="0.25">
      <c r="A244" s="240" t="s">
        <v>442</v>
      </c>
      <c r="B244" s="240" t="s">
        <v>443</v>
      </c>
      <c r="C244" s="240" t="s">
        <v>161</v>
      </c>
      <c r="D244" s="240">
        <v>1935010</v>
      </c>
      <c r="E244" s="247">
        <v>44453.449305555558</v>
      </c>
      <c r="F244" s="243" t="s">
        <v>537</v>
      </c>
      <c r="G244" s="240"/>
      <c r="H244" s="240"/>
    </row>
    <row r="245" spans="1:8" x14ac:dyDescent="0.25">
      <c r="A245" s="240" t="s">
        <v>442</v>
      </c>
      <c r="B245" s="240" t="s">
        <v>443</v>
      </c>
      <c r="C245" s="240" t="s">
        <v>161</v>
      </c>
      <c r="D245" s="240">
        <v>1935004</v>
      </c>
      <c r="E245" s="247">
        <v>44453.449305555558</v>
      </c>
      <c r="F245" s="243" t="s">
        <v>537</v>
      </c>
      <c r="G245" s="240"/>
      <c r="H245" s="240"/>
    </row>
    <row r="246" spans="1:8" x14ac:dyDescent="0.25">
      <c r="A246" s="240" t="s">
        <v>442</v>
      </c>
      <c r="B246" s="240" t="s">
        <v>443</v>
      </c>
      <c r="C246" s="240" t="s">
        <v>507</v>
      </c>
      <c r="D246" s="240">
        <v>1935013</v>
      </c>
      <c r="E246" s="247">
        <v>44453.453472222223</v>
      </c>
      <c r="F246" s="243" t="s">
        <v>538</v>
      </c>
      <c r="G246" s="240"/>
      <c r="H246" s="240"/>
    </row>
    <row r="247" spans="1:8" x14ac:dyDescent="0.25">
      <c r="A247" s="240" t="s">
        <v>442</v>
      </c>
      <c r="B247" s="240" t="s">
        <v>443</v>
      </c>
      <c r="C247" s="240" t="s">
        <v>308</v>
      </c>
      <c r="D247" s="240">
        <v>1943002</v>
      </c>
      <c r="E247" s="247">
        <v>44455.402083333334</v>
      </c>
      <c r="F247" s="243" t="s">
        <v>539</v>
      </c>
      <c r="G247" s="240"/>
      <c r="H247" s="240"/>
    </row>
    <row r="248" spans="1:8" x14ac:dyDescent="0.25">
      <c r="A248" s="240" t="s">
        <v>442</v>
      </c>
      <c r="B248" s="240" t="s">
        <v>443</v>
      </c>
      <c r="C248" s="240" t="s">
        <v>308</v>
      </c>
      <c r="D248" s="240">
        <v>1943001</v>
      </c>
      <c r="E248" s="247">
        <v>44455.402083333334</v>
      </c>
      <c r="F248" s="243" t="s">
        <v>539</v>
      </c>
      <c r="G248" s="240"/>
      <c r="H248" s="240"/>
    </row>
  </sheetData>
  <sortState xmlns:xlrd2="http://schemas.microsoft.com/office/spreadsheetml/2017/richdata2" ref="A2:H248">
    <sortCondition descending="1" ref="G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BF296-5AB2-4D60-A9D5-8E509220111F}">
  <dimension ref="A1:L63"/>
  <sheetViews>
    <sheetView workbookViewId="0">
      <selection activeCell="N41" sqref="N41"/>
    </sheetView>
  </sheetViews>
  <sheetFormatPr defaultRowHeight="15" x14ac:dyDescent="0.25"/>
  <cols>
    <col min="1" max="1" width="34.42578125" style="60" customWidth="1"/>
    <col min="2" max="2" width="12.85546875" customWidth="1"/>
    <col min="7" max="7" width="25.28515625" customWidth="1"/>
    <col min="8" max="8" width="10.85546875" customWidth="1"/>
  </cols>
  <sheetData>
    <row r="1" spans="1:12" x14ac:dyDescent="0.25">
      <c r="A1" s="449" t="s">
        <v>201</v>
      </c>
      <c r="B1" s="450" t="s">
        <v>540</v>
      </c>
      <c r="C1" s="450" t="s">
        <v>68</v>
      </c>
      <c r="D1" s="239"/>
      <c r="E1" s="239"/>
      <c r="F1" s="239"/>
      <c r="G1" s="239"/>
      <c r="H1" s="239"/>
      <c r="I1" s="239"/>
      <c r="J1" s="239"/>
      <c r="K1" s="239"/>
      <c r="L1" s="239"/>
    </row>
    <row r="2" spans="1:12" x14ac:dyDescent="0.25">
      <c r="A2" s="449"/>
      <c r="B2" s="450"/>
      <c r="C2" s="450"/>
      <c r="D2" s="239"/>
      <c r="E2" s="239"/>
      <c r="F2" s="239"/>
      <c r="G2" s="239"/>
      <c r="H2" s="239"/>
      <c r="I2" s="239"/>
      <c r="J2" s="239"/>
      <c r="K2" s="239"/>
      <c r="L2" s="239"/>
    </row>
    <row r="3" spans="1:12" x14ac:dyDescent="0.25">
      <c r="A3" s="63" t="s">
        <v>106</v>
      </c>
      <c r="B3" s="12"/>
      <c r="C3" s="12" t="s">
        <v>541</v>
      </c>
      <c r="D3" s="239"/>
      <c r="E3" s="239"/>
      <c r="F3" s="239"/>
      <c r="G3" s="61" t="s">
        <v>317</v>
      </c>
      <c r="H3" s="59" t="s">
        <v>106</v>
      </c>
      <c r="I3" s="239"/>
      <c r="J3" s="239"/>
      <c r="K3" s="239"/>
      <c r="L3" s="59" t="s">
        <v>106</v>
      </c>
    </row>
    <row r="4" spans="1:12" x14ac:dyDescent="0.25">
      <c r="A4" s="59" t="s">
        <v>107</v>
      </c>
      <c r="B4" s="12"/>
      <c r="C4" s="12" t="s">
        <v>541</v>
      </c>
      <c r="D4" s="239"/>
      <c r="E4" s="239"/>
      <c r="F4" s="239"/>
      <c r="G4" s="61" t="s">
        <v>327</v>
      </c>
      <c r="H4" s="59" t="s">
        <v>107</v>
      </c>
      <c r="I4" s="239"/>
      <c r="J4" s="239"/>
      <c r="K4" s="239"/>
      <c r="L4" s="59" t="s">
        <v>107</v>
      </c>
    </row>
    <row r="5" spans="1:12" x14ac:dyDescent="0.25">
      <c r="A5" s="64" t="s">
        <v>104</v>
      </c>
      <c r="B5" s="12"/>
      <c r="C5" s="12" t="s">
        <v>541</v>
      </c>
      <c r="D5" s="239"/>
      <c r="E5" s="239"/>
      <c r="F5" s="239"/>
      <c r="G5" s="61" t="s">
        <v>311</v>
      </c>
      <c r="H5" s="59" t="s">
        <v>104</v>
      </c>
      <c r="I5" s="239"/>
      <c r="J5" s="239"/>
      <c r="K5" s="239"/>
      <c r="L5" s="59" t="s">
        <v>104</v>
      </c>
    </row>
    <row r="6" spans="1:12" x14ac:dyDescent="0.25">
      <c r="A6" s="59" t="s">
        <v>108</v>
      </c>
      <c r="B6" s="12"/>
      <c r="C6" s="12" t="s">
        <v>541</v>
      </c>
      <c r="D6" s="239"/>
      <c r="E6" s="239"/>
      <c r="F6" s="239"/>
      <c r="G6" s="61" t="s">
        <v>108</v>
      </c>
      <c r="H6" s="59" t="s">
        <v>108</v>
      </c>
      <c r="I6" s="239"/>
      <c r="J6" s="239"/>
      <c r="K6" s="239"/>
      <c r="L6" s="59" t="s">
        <v>108</v>
      </c>
    </row>
    <row r="7" spans="1:12" x14ac:dyDescent="0.25">
      <c r="A7" s="59" t="s">
        <v>101</v>
      </c>
      <c r="B7" s="12" t="s">
        <v>542</v>
      </c>
      <c r="C7" s="12" t="s">
        <v>541</v>
      </c>
      <c r="D7" s="239"/>
      <c r="E7" s="239"/>
      <c r="F7" s="239"/>
      <c r="G7" s="61" t="s">
        <v>308</v>
      </c>
      <c r="H7" s="59" t="s">
        <v>101</v>
      </c>
      <c r="I7" s="239"/>
      <c r="J7" s="239"/>
      <c r="K7" s="239"/>
      <c r="L7" s="59" t="s">
        <v>101</v>
      </c>
    </row>
    <row r="8" spans="1:12" x14ac:dyDescent="0.25">
      <c r="A8" s="59" t="s">
        <v>105</v>
      </c>
      <c r="B8" s="12" t="s">
        <v>543</v>
      </c>
      <c r="C8" s="12" t="s">
        <v>541</v>
      </c>
      <c r="D8" s="239"/>
      <c r="E8" s="239"/>
      <c r="F8" s="239"/>
      <c r="G8" s="61" t="s">
        <v>313</v>
      </c>
      <c r="H8" s="59" t="s">
        <v>105</v>
      </c>
      <c r="I8" s="239"/>
      <c r="J8" s="239"/>
      <c r="K8" s="239"/>
      <c r="L8" s="59" t="s">
        <v>105</v>
      </c>
    </row>
    <row r="9" spans="1:12" x14ac:dyDescent="0.25">
      <c r="A9" s="64" t="s">
        <v>110</v>
      </c>
      <c r="B9" s="12"/>
      <c r="C9" s="12" t="s">
        <v>544</v>
      </c>
      <c r="D9" s="239"/>
      <c r="E9" s="239"/>
      <c r="F9" s="239"/>
      <c r="G9" s="61" t="s">
        <v>320</v>
      </c>
      <c r="H9" s="64" t="s">
        <v>110</v>
      </c>
      <c r="I9" s="239"/>
      <c r="J9" s="239"/>
      <c r="K9" s="239"/>
      <c r="L9" s="64" t="s">
        <v>110</v>
      </c>
    </row>
    <row r="10" spans="1:12" x14ac:dyDescent="0.25">
      <c r="A10" s="59" t="s">
        <v>112</v>
      </c>
      <c r="B10" s="12"/>
      <c r="C10" s="12" t="s">
        <v>544</v>
      </c>
      <c r="D10" s="239"/>
      <c r="E10" s="239"/>
      <c r="F10" s="239"/>
      <c r="G10" s="61" t="s">
        <v>112</v>
      </c>
      <c r="H10" s="59" t="s">
        <v>112</v>
      </c>
      <c r="I10" s="239"/>
      <c r="J10" s="239"/>
      <c r="K10" s="239"/>
      <c r="L10" s="59" t="s">
        <v>112</v>
      </c>
    </row>
    <row r="11" spans="1:12" x14ac:dyDescent="0.25">
      <c r="A11" s="59" t="s">
        <v>113</v>
      </c>
      <c r="B11" s="12"/>
      <c r="C11" s="12" t="s">
        <v>544</v>
      </c>
      <c r="D11" s="239"/>
      <c r="E11" s="239"/>
      <c r="F11" s="239"/>
      <c r="G11" s="61" t="s">
        <v>113</v>
      </c>
      <c r="H11" s="59" t="s">
        <v>113</v>
      </c>
      <c r="I11" s="239"/>
      <c r="J11" s="239"/>
      <c r="K11" s="239"/>
      <c r="L11" s="59" t="s">
        <v>113</v>
      </c>
    </row>
    <row r="12" spans="1:12" x14ac:dyDescent="0.25">
      <c r="A12" s="63" t="s">
        <v>115</v>
      </c>
      <c r="B12" s="12"/>
      <c r="C12" s="12" t="s">
        <v>544</v>
      </c>
      <c r="D12" s="239"/>
      <c r="E12" s="239"/>
      <c r="F12" s="239"/>
      <c r="G12" s="61" t="s">
        <v>333</v>
      </c>
      <c r="H12" s="63" t="s">
        <v>115</v>
      </c>
      <c r="I12" s="239"/>
      <c r="J12" s="239"/>
      <c r="K12" s="239"/>
      <c r="L12" s="63" t="s">
        <v>115</v>
      </c>
    </row>
    <row r="13" spans="1:12" x14ac:dyDescent="0.25">
      <c r="A13" s="59" t="s">
        <v>109</v>
      </c>
      <c r="B13" s="12"/>
      <c r="C13" s="12" t="s">
        <v>544</v>
      </c>
      <c r="D13" s="239"/>
      <c r="E13" s="239"/>
      <c r="F13" s="239"/>
      <c r="G13" s="61" t="s">
        <v>109</v>
      </c>
      <c r="H13" s="59" t="s">
        <v>109</v>
      </c>
      <c r="I13" s="239"/>
      <c r="J13" s="239"/>
      <c r="K13" s="239"/>
      <c r="L13" s="59" t="s">
        <v>109</v>
      </c>
    </row>
    <row r="14" spans="1:12" x14ac:dyDescent="0.25">
      <c r="A14" s="59" t="s">
        <v>111</v>
      </c>
      <c r="B14" s="12"/>
      <c r="C14" s="12" t="s">
        <v>544</v>
      </c>
      <c r="D14" s="239"/>
      <c r="E14" s="239"/>
      <c r="F14" s="239"/>
      <c r="G14" s="61" t="s">
        <v>111</v>
      </c>
      <c r="H14" s="59" t="s">
        <v>111</v>
      </c>
      <c r="I14" s="239"/>
      <c r="J14" s="239"/>
      <c r="K14" s="239"/>
      <c r="L14" s="59" t="s">
        <v>111</v>
      </c>
    </row>
    <row r="15" spans="1:12" x14ac:dyDescent="0.25">
      <c r="A15" s="59" t="s">
        <v>117</v>
      </c>
      <c r="B15" s="12" t="s">
        <v>545</v>
      </c>
      <c r="C15" s="12" t="s">
        <v>546</v>
      </c>
      <c r="D15" s="239"/>
      <c r="E15" s="239"/>
      <c r="F15" s="239"/>
      <c r="G15" s="61" t="s">
        <v>547</v>
      </c>
      <c r="H15" s="59" t="s">
        <v>117</v>
      </c>
      <c r="I15" s="239"/>
      <c r="J15" s="239"/>
      <c r="K15" s="239"/>
      <c r="L15" s="59" t="s">
        <v>117</v>
      </c>
    </row>
    <row r="16" spans="1:12" x14ac:dyDescent="0.25">
      <c r="A16" s="59" t="s">
        <v>116</v>
      </c>
      <c r="B16" s="12" t="s">
        <v>548</v>
      </c>
      <c r="C16" s="12" t="s">
        <v>546</v>
      </c>
      <c r="D16" s="239"/>
      <c r="E16" s="239"/>
      <c r="F16" s="239"/>
      <c r="G16" s="61" t="s">
        <v>361</v>
      </c>
      <c r="H16" s="59" t="s">
        <v>116</v>
      </c>
      <c r="I16" s="239"/>
      <c r="J16" s="239"/>
      <c r="K16" s="239"/>
      <c r="L16" s="59" t="s">
        <v>116</v>
      </c>
    </row>
    <row r="17" spans="1:12" x14ac:dyDescent="0.25">
      <c r="A17" s="59" t="s">
        <v>119</v>
      </c>
      <c r="B17" s="12"/>
      <c r="C17" s="12" t="s">
        <v>549</v>
      </c>
      <c r="D17" s="239"/>
      <c r="E17" s="239"/>
      <c r="F17" s="239"/>
      <c r="G17" s="61" t="s">
        <v>119</v>
      </c>
      <c r="H17" s="59" t="s">
        <v>119</v>
      </c>
      <c r="I17" s="239"/>
      <c r="J17" s="239"/>
      <c r="K17" s="239"/>
      <c r="L17" s="59" t="s">
        <v>119</v>
      </c>
    </row>
    <row r="18" spans="1:12" x14ac:dyDescent="0.25">
      <c r="A18" s="59" t="s">
        <v>123</v>
      </c>
      <c r="B18" s="12"/>
      <c r="C18" s="12" t="s">
        <v>549</v>
      </c>
      <c r="D18" s="239"/>
      <c r="E18" s="239"/>
      <c r="F18" s="239"/>
      <c r="G18" s="61" t="s">
        <v>123</v>
      </c>
      <c r="H18" s="59" t="s">
        <v>123</v>
      </c>
      <c r="I18" s="239"/>
      <c r="J18" s="239"/>
      <c r="K18" s="239"/>
      <c r="L18" s="59" t="s">
        <v>123</v>
      </c>
    </row>
    <row r="19" spans="1:12" x14ac:dyDescent="0.25">
      <c r="A19" s="59" t="s">
        <v>125</v>
      </c>
      <c r="B19" s="12" t="s">
        <v>550</v>
      </c>
      <c r="C19" s="12" t="s">
        <v>551</v>
      </c>
      <c r="D19" s="239"/>
      <c r="E19" s="239"/>
      <c r="F19" s="239"/>
      <c r="G19" s="61" t="s">
        <v>335</v>
      </c>
      <c r="H19" s="59" t="s">
        <v>125</v>
      </c>
      <c r="I19" s="239"/>
      <c r="J19" s="239"/>
      <c r="K19" s="239"/>
      <c r="L19" s="59" t="s">
        <v>125</v>
      </c>
    </row>
    <row r="20" spans="1:12" x14ac:dyDescent="0.25">
      <c r="A20" s="59" t="s">
        <v>127</v>
      </c>
      <c r="B20" s="12" t="s">
        <v>552</v>
      </c>
      <c r="C20" s="12" t="s">
        <v>551</v>
      </c>
      <c r="D20" s="239"/>
      <c r="E20" s="239"/>
      <c r="F20" s="239"/>
      <c r="G20" s="61" t="s">
        <v>338</v>
      </c>
      <c r="H20" s="62" t="s">
        <v>127</v>
      </c>
      <c r="I20" s="239"/>
      <c r="J20" s="239"/>
      <c r="K20" s="239"/>
      <c r="L20" s="62" t="s">
        <v>127</v>
      </c>
    </row>
    <row r="21" spans="1:12" x14ac:dyDescent="0.25">
      <c r="A21" s="63" t="s">
        <v>128</v>
      </c>
      <c r="B21" s="12"/>
      <c r="C21" s="12" t="s">
        <v>551</v>
      </c>
      <c r="D21" s="239"/>
      <c r="E21" s="239"/>
      <c r="F21" s="239"/>
      <c r="G21" s="61" t="s">
        <v>340</v>
      </c>
      <c r="H21" s="63" t="s">
        <v>128</v>
      </c>
      <c r="I21" s="239"/>
      <c r="J21" s="239"/>
      <c r="K21" s="239"/>
      <c r="L21" s="63" t="s">
        <v>128</v>
      </c>
    </row>
    <row r="22" spans="1:12" x14ac:dyDescent="0.25">
      <c r="A22" s="59" t="s">
        <v>130</v>
      </c>
      <c r="B22" s="12" t="s">
        <v>553</v>
      </c>
      <c r="C22" s="12" t="s">
        <v>551</v>
      </c>
      <c r="D22" s="239"/>
      <c r="E22" s="239"/>
      <c r="F22" s="239"/>
      <c r="G22" s="61" t="s">
        <v>344</v>
      </c>
      <c r="H22" s="59" t="s">
        <v>130</v>
      </c>
      <c r="I22" s="239"/>
      <c r="J22" s="239"/>
      <c r="K22" s="239"/>
      <c r="L22" s="59" t="s">
        <v>130</v>
      </c>
    </row>
    <row r="23" spans="1:12" x14ac:dyDescent="0.25">
      <c r="A23" s="59" t="s">
        <v>132</v>
      </c>
      <c r="B23" s="12" t="s">
        <v>554</v>
      </c>
      <c r="C23" s="12" t="s">
        <v>551</v>
      </c>
      <c r="D23" s="239"/>
      <c r="E23" s="239"/>
      <c r="F23" s="239"/>
      <c r="G23" s="61" t="s">
        <v>345</v>
      </c>
      <c r="H23" s="59" t="s">
        <v>132</v>
      </c>
      <c r="I23" s="239"/>
      <c r="J23" s="239"/>
      <c r="K23" s="239"/>
      <c r="L23" s="59" t="s">
        <v>132</v>
      </c>
    </row>
    <row r="24" spans="1:12" x14ac:dyDescent="0.25">
      <c r="A24" s="59" t="s">
        <v>124</v>
      </c>
      <c r="B24" s="12"/>
      <c r="C24" s="12" t="s">
        <v>551</v>
      </c>
      <c r="D24" s="239"/>
      <c r="E24" s="239"/>
      <c r="F24" s="239"/>
      <c r="G24" s="61" t="s">
        <v>124</v>
      </c>
      <c r="H24" s="59" t="s">
        <v>124</v>
      </c>
      <c r="I24" s="239"/>
      <c r="J24" s="239"/>
      <c r="K24" s="239"/>
      <c r="L24" s="59" t="s">
        <v>124</v>
      </c>
    </row>
    <row r="25" spans="1:12" x14ac:dyDescent="0.25">
      <c r="A25" s="59" t="s">
        <v>134</v>
      </c>
      <c r="B25" s="12" t="s">
        <v>555</v>
      </c>
      <c r="C25" s="12" t="s">
        <v>556</v>
      </c>
      <c r="D25" s="239"/>
      <c r="E25" s="239"/>
      <c r="F25" s="239"/>
      <c r="G25" s="61" t="s">
        <v>557</v>
      </c>
      <c r="H25" s="59" t="s">
        <v>134</v>
      </c>
      <c r="I25" s="239"/>
      <c r="J25" s="239"/>
      <c r="K25" s="239"/>
      <c r="L25" s="59" t="s">
        <v>134</v>
      </c>
    </row>
    <row r="26" spans="1:12" x14ac:dyDescent="0.25">
      <c r="A26" s="59" t="s">
        <v>136</v>
      </c>
      <c r="B26" s="12"/>
      <c r="C26" s="12" t="s">
        <v>556</v>
      </c>
      <c r="D26" s="239"/>
      <c r="E26" s="239"/>
      <c r="F26" s="239"/>
      <c r="G26" s="61" t="s">
        <v>136</v>
      </c>
      <c r="H26" s="59" t="s">
        <v>136</v>
      </c>
      <c r="I26" s="239"/>
      <c r="J26" s="239"/>
      <c r="K26" s="239"/>
      <c r="L26" s="59" t="s">
        <v>136</v>
      </c>
    </row>
    <row r="27" spans="1:12" x14ac:dyDescent="0.25">
      <c r="A27" s="59" t="s">
        <v>133</v>
      </c>
      <c r="B27" s="12"/>
      <c r="C27" s="12" t="s">
        <v>556</v>
      </c>
      <c r="D27" s="239"/>
      <c r="E27" s="239"/>
      <c r="F27" s="239"/>
      <c r="G27" s="61" t="s">
        <v>305</v>
      </c>
      <c r="H27" s="59" t="s">
        <v>133</v>
      </c>
      <c r="I27" s="239"/>
      <c r="J27" s="239"/>
      <c r="K27" s="239"/>
      <c r="L27" s="59" t="s">
        <v>133</v>
      </c>
    </row>
    <row r="28" spans="1:12" x14ac:dyDescent="0.25">
      <c r="A28" s="239" t="s">
        <v>139</v>
      </c>
      <c r="B28" s="12"/>
      <c r="C28" s="12" t="s">
        <v>558</v>
      </c>
      <c r="D28" s="239"/>
      <c r="E28" s="239"/>
      <c r="F28" s="239"/>
      <c r="G28" s="61" t="s">
        <v>342</v>
      </c>
      <c r="H28" s="239" t="s">
        <v>139</v>
      </c>
      <c r="I28" s="239"/>
      <c r="J28" s="239"/>
      <c r="K28" s="239"/>
      <c r="L28" s="59" t="s">
        <v>342</v>
      </c>
    </row>
    <row r="29" spans="1:12" x14ac:dyDescent="0.25">
      <c r="A29" s="59" t="s">
        <v>142</v>
      </c>
      <c r="B29" s="12"/>
      <c r="C29" s="12" t="s">
        <v>558</v>
      </c>
      <c r="D29" s="239"/>
      <c r="E29" s="239"/>
      <c r="F29" s="239"/>
      <c r="G29" s="61" t="s">
        <v>142</v>
      </c>
      <c r="H29" s="59" t="s">
        <v>142</v>
      </c>
      <c r="I29" s="239"/>
      <c r="J29" s="239"/>
      <c r="K29" s="239"/>
      <c r="L29" s="59" t="s">
        <v>142</v>
      </c>
    </row>
    <row r="30" spans="1:12" x14ac:dyDescent="0.25">
      <c r="A30" s="59" t="s">
        <v>137</v>
      </c>
      <c r="B30" s="12"/>
      <c r="C30" s="12" t="s">
        <v>558</v>
      </c>
      <c r="D30" s="239"/>
      <c r="E30" s="239"/>
      <c r="F30" s="239"/>
      <c r="G30" s="61" t="s">
        <v>137</v>
      </c>
      <c r="H30" s="59" t="s">
        <v>137</v>
      </c>
      <c r="I30" s="239"/>
      <c r="J30" s="239"/>
      <c r="K30" s="239"/>
      <c r="L30" s="59" t="s">
        <v>137</v>
      </c>
    </row>
    <row r="31" spans="1:12" ht="22.5" x14ac:dyDescent="0.3">
      <c r="A31" s="266" t="s">
        <v>140</v>
      </c>
      <c r="B31" s="12" t="s">
        <v>559</v>
      </c>
      <c r="C31" s="12" t="s">
        <v>558</v>
      </c>
      <c r="D31" s="239"/>
      <c r="E31" s="239"/>
      <c r="F31" s="239"/>
      <c r="G31" s="61" t="s">
        <v>560</v>
      </c>
      <c r="H31" s="59" t="s">
        <v>140</v>
      </c>
      <c r="I31" s="239"/>
      <c r="J31" s="239"/>
      <c r="K31" s="239"/>
      <c r="L31" s="59" t="s">
        <v>561</v>
      </c>
    </row>
    <row r="32" spans="1:12" x14ac:dyDescent="0.25">
      <c r="A32" s="59" t="s">
        <v>141</v>
      </c>
      <c r="B32" s="12"/>
      <c r="C32" s="12" t="s">
        <v>558</v>
      </c>
      <c r="D32" s="239"/>
      <c r="E32" s="239"/>
      <c r="F32" s="239"/>
      <c r="G32" s="61" t="s">
        <v>141</v>
      </c>
      <c r="H32" s="59" t="s">
        <v>141</v>
      </c>
      <c r="I32" s="239"/>
      <c r="J32" s="239"/>
      <c r="K32" s="239"/>
      <c r="L32" s="59" t="s">
        <v>141</v>
      </c>
    </row>
    <row r="33" spans="1:12" x14ac:dyDescent="0.25">
      <c r="A33" s="59" t="s">
        <v>150</v>
      </c>
      <c r="B33" s="12"/>
      <c r="C33" s="12" t="s">
        <v>562</v>
      </c>
      <c r="D33" s="239"/>
      <c r="E33" s="239"/>
      <c r="F33" s="239"/>
      <c r="G33" s="61" t="s">
        <v>150</v>
      </c>
      <c r="H33" s="59" t="s">
        <v>150</v>
      </c>
      <c r="I33" s="239"/>
      <c r="J33" s="239"/>
      <c r="K33" s="239"/>
      <c r="L33" s="59" t="s">
        <v>150</v>
      </c>
    </row>
    <row r="34" spans="1:12" x14ac:dyDescent="0.25">
      <c r="A34" s="59" t="s">
        <v>145</v>
      </c>
      <c r="B34" s="12" t="s">
        <v>563</v>
      </c>
      <c r="C34" s="12" t="s">
        <v>562</v>
      </c>
      <c r="D34" s="239"/>
      <c r="E34" s="239"/>
      <c r="F34" s="239"/>
      <c r="G34" s="61" t="s">
        <v>295</v>
      </c>
      <c r="H34" s="59" t="s">
        <v>145</v>
      </c>
      <c r="I34" s="239"/>
      <c r="J34" s="239"/>
      <c r="K34" s="239"/>
      <c r="L34" s="59" t="s">
        <v>145</v>
      </c>
    </row>
    <row r="35" spans="1:12" x14ac:dyDescent="0.25">
      <c r="A35" s="64" t="s">
        <v>148</v>
      </c>
      <c r="B35" s="12"/>
      <c r="C35" s="12" t="s">
        <v>562</v>
      </c>
      <c r="D35" s="239"/>
      <c r="E35" s="239"/>
      <c r="F35" s="239"/>
      <c r="G35" s="61" t="s">
        <v>299</v>
      </c>
      <c r="H35" s="64" t="s">
        <v>148</v>
      </c>
      <c r="I35" s="239"/>
      <c r="J35" s="239"/>
      <c r="K35" s="239"/>
      <c r="L35" s="64" t="s">
        <v>148</v>
      </c>
    </row>
    <row r="36" spans="1:12" x14ac:dyDescent="0.25">
      <c r="A36" s="59" t="s">
        <v>149</v>
      </c>
      <c r="B36" s="12" t="s">
        <v>564</v>
      </c>
      <c r="C36" s="12" t="s">
        <v>562</v>
      </c>
      <c r="D36" s="239"/>
      <c r="E36" s="239"/>
      <c r="F36" s="239"/>
      <c r="G36" s="61" t="s">
        <v>303</v>
      </c>
      <c r="H36" s="59" t="s">
        <v>149</v>
      </c>
      <c r="I36" s="239"/>
      <c r="J36" s="239"/>
      <c r="K36" s="239"/>
      <c r="L36" s="59" t="s">
        <v>149</v>
      </c>
    </row>
    <row r="37" spans="1:12" x14ac:dyDescent="0.25">
      <c r="A37" s="59" t="s">
        <v>144</v>
      </c>
      <c r="B37" s="12"/>
      <c r="C37" s="12" t="s">
        <v>562</v>
      </c>
      <c r="D37" s="239"/>
      <c r="E37" s="239"/>
      <c r="F37" s="239"/>
      <c r="G37" s="61" t="s">
        <v>144</v>
      </c>
      <c r="H37" s="59" t="s">
        <v>144</v>
      </c>
      <c r="I37" s="239"/>
      <c r="J37" s="239"/>
      <c r="K37" s="239"/>
      <c r="L37" s="59" t="s">
        <v>144</v>
      </c>
    </row>
    <row r="38" spans="1:12" s="21" customFormat="1" x14ac:dyDescent="0.25">
      <c r="A38" s="59" t="s">
        <v>565</v>
      </c>
      <c r="B38" s="12"/>
      <c r="C38" s="12" t="s">
        <v>562</v>
      </c>
      <c r="D38" s="239"/>
      <c r="E38" s="239"/>
      <c r="F38" s="239"/>
      <c r="G38" s="61" t="s">
        <v>565</v>
      </c>
      <c r="H38" s="59" t="s">
        <v>565</v>
      </c>
      <c r="I38" s="239"/>
      <c r="J38" s="239"/>
      <c r="K38" s="239"/>
      <c r="L38" s="59" t="s">
        <v>565</v>
      </c>
    </row>
    <row r="39" spans="1:12" x14ac:dyDescent="0.25">
      <c r="A39" s="59" t="s">
        <v>146</v>
      </c>
      <c r="B39" s="12" t="s">
        <v>566</v>
      </c>
      <c r="C39" s="12" t="s">
        <v>562</v>
      </c>
      <c r="D39" s="239"/>
      <c r="E39" s="239"/>
      <c r="F39" s="239"/>
      <c r="G39" s="222" t="s">
        <v>298</v>
      </c>
      <c r="H39" s="59" t="s">
        <v>146</v>
      </c>
      <c r="I39" s="239"/>
      <c r="J39" s="239"/>
      <c r="K39" s="239"/>
      <c r="L39" s="59" t="s">
        <v>261</v>
      </c>
    </row>
    <row r="40" spans="1:12" s="239" customFormat="1" x14ac:dyDescent="0.25">
      <c r="A40" s="59" t="s">
        <v>261</v>
      </c>
      <c r="B40" s="12" t="s">
        <v>566</v>
      </c>
      <c r="C40" s="12" t="s">
        <v>562</v>
      </c>
      <c r="G40" s="59" t="s">
        <v>261</v>
      </c>
      <c r="H40" s="59" t="s">
        <v>261</v>
      </c>
      <c r="L40" s="59" t="s">
        <v>261</v>
      </c>
    </row>
    <row r="41" spans="1:12" x14ac:dyDescent="0.25">
      <c r="A41" s="59" t="s">
        <v>155</v>
      </c>
      <c r="B41" s="12"/>
      <c r="C41" s="12" t="s">
        <v>567</v>
      </c>
      <c r="D41" s="239"/>
      <c r="E41" s="239"/>
      <c r="F41" s="239"/>
      <c r="G41" s="61" t="s">
        <v>155</v>
      </c>
      <c r="H41" s="59" t="s">
        <v>155</v>
      </c>
      <c r="I41" s="239"/>
      <c r="J41" s="239"/>
      <c r="K41" s="239"/>
      <c r="L41" s="59" t="s">
        <v>155</v>
      </c>
    </row>
    <row r="42" spans="1:12" x14ac:dyDescent="0.25">
      <c r="A42" s="59" t="s">
        <v>154</v>
      </c>
      <c r="B42" s="12"/>
      <c r="C42" s="12" t="s">
        <v>567</v>
      </c>
      <c r="D42" s="239"/>
      <c r="E42" s="239"/>
      <c r="F42" s="239"/>
      <c r="G42" s="61" t="s">
        <v>154</v>
      </c>
      <c r="H42" s="59" t="s">
        <v>154</v>
      </c>
      <c r="I42" s="239"/>
      <c r="J42" s="239"/>
      <c r="K42" s="239"/>
      <c r="L42" s="59" t="s">
        <v>154</v>
      </c>
    </row>
    <row r="43" spans="1:12" x14ac:dyDescent="0.25">
      <c r="A43" s="59" t="s">
        <v>151</v>
      </c>
      <c r="B43" s="12" t="s">
        <v>568</v>
      </c>
      <c r="C43" s="12" t="s">
        <v>567</v>
      </c>
      <c r="D43" s="239"/>
      <c r="E43" s="239"/>
      <c r="F43" s="239"/>
      <c r="G43" s="61" t="s">
        <v>367</v>
      </c>
      <c r="H43" s="59" t="s">
        <v>151</v>
      </c>
      <c r="I43" s="239"/>
      <c r="J43" s="239"/>
      <c r="K43" s="239"/>
      <c r="L43" s="59" t="s">
        <v>151</v>
      </c>
    </row>
    <row r="44" spans="1:12" x14ac:dyDescent="0.25">
      <c r="A44" s="59" t="s">
        <v>152</v>
      </c>
      <c r="B44" s="12" t="s">
        <v>569</v>
      </c>
      <c r="C44" s="12" t="s">
        <v>567</v>
      </c>
      <c r="D44" s="239"/>
      <c r="E44" s="239"/>
      <c r="F44" s="239"/>
      <c r="G44" s="61" t="s">
        <v>370</v>
      </c>
      <c r="H44" s="59" t="s">
        <v>152</v>
      </c>
      <c r="I44" s="239"/>
      <c r="J44" s="239"/>
      <c r="K44" s="239"/>
      <c r="L44" s="59" t="s">
        <v>152</v>
      </c>
    </row>
    <row r="45" spans="1:12" x14ac:dyDescent="0.25">
      <c r="A45" s="59" t="s">
        <v>156</v>
      </c>
      <c r="B45" s="12" t="s">
        <v>570</v>
      </c>
      <c r="C45" s="12" t="s">
        <v>567</v>
      </c>
      <c r="D45" s="239"/>
      <c r="E45" s="239"/>
      <c r="F45" s="239"/>
      <c r="G45" s="61" t="s">
        <v>376</v>
      </c>
      <c r="H45" s="59" t="s">
        <v>156</v>
      </c>
      <c r="I45" s="239"/>
      <c r="J45" s="239"/>
      <c r="K45" s="239"/>
      <c r="L45" s="59" t="s">
        <v>156</v>
      </c>
    </row>
    <row r="46" spans="1:12" x14ac:dyDescent="0.25">
      <c r="A46" s="59" t="s">
        <v>161</v>
      </c>
      <c r="B46" s="12"/>
      <c r="C46" s="12" t="s">
        <v>571</v>
      </c>
      <c r="D46" s="239"/>
      <c r="E46" s="239"/>
      <c r="F46" s="239"/>
      <c r="G46" s="61" t="s">
        <v>161</v>
      </c>
      <c r="H46" s="59" t="s">
        <v>161</v>
      </c>
      <c r="I46" s="239"/>
      <c r="J46" s="239"/>
      <c r="K46" s="239"/>
      <c r="L46" s="59" t="s">
        <v>161</v>
      </c>
    </row>
    <row r="47" spans="1:12" x14ac:dyDescent="0.25">
      <c r="A47" s="59" t="s">
        <v>157</v>
      </c>
      <c r="B47" s="12" t="s">
        <v>572</v>
      </c>
      <c r="C47" s="12" t="s">
        <v>571</v>
      </c>
      <c r="D47" s="239"/>
      <c r="E47" s="239"/>
      <c r="F47" s="239"/>
      <c r="G47" s="222" t="s">
        <v>356</v>
      </c>
      <c r="H47" s="59" t="s">
        <v>157</v>
      </c>
      <c r="I47" s="239"/>
      <c r="J47" s="239"/>
      <c r="K47" s="239"/>
      <c r="L47" s="59" t="s">
        <v>157</v>
      </c>
    </row>
    <row r="48" spans="1:12" x14ac:dyDescent="0.25">
      <c r="A48" s="59" t="s">
        <v>163</v>
      </c>
      <c r="B48" s="12" t="s">
        <v>573</v>
      </c>
      <c r="C48" s="12" t="s">
        <v>571</v>
      </c>
      <c r="D48" s="239"/>
      <c r="E48" s="239"/>
      <c r="F48" s="239"/>
      <c r="G48" s="61" t="s">
        <v>365</v>
      </c>
      <c r="H48" s="59" t="s">
        <v>163</v>
      </c>
      <c r="I48" s="239"/>
      <c r="J48" s="239"/>
      <c r="K48" s="239"/>
      <c r="L48" s="59" t="s">
        <v>163</v>
      </c>
    </row>
    <row r="49" spans="1:12" x14ac:dyDescent="0.25">
      <c r="A49" s="59" t="s">
        <v>160</v>
      </c>
      <c r="B49" s="12"/>
      <c r="C49" s="12" t="s">
        <v>571</v>
      </c>
      <c r="D49" s="239"/>
      <c r="E49" s="239"/>
      <c r="F49" s="239"/>
      <c r="G49" s="61" t="s">
        <v>160</v>
      </c>
      <c r="H49" s="59" t="s">
        <v>160</v>
      </c>
      <c r="I49" s="239"/>
      <c r="J49" s="239"/>
      <c r="K49" s="239"/>
      <c r="L49" s="59" t="s">
        <v>160</v>
      </c>
    </row>
    <row r="50" spans="1:12" x14ac:dyDescent="0.25">
      <c r="A50" s="59" t="s">
        <v>166</v>
      </c>
      <c r="B50" s="12"/>
      <c r="C50" s="12" t="s">
        <v>571</v>
      </c>
      <c r="D50" s="239"/>
      <c r="E50" s="239"/>
      <c r="F50" s="239"/>
      <c r="G50" s="61" t="s">
        <v>166</v>
      </c>
      <c r="H50" s="59" t="s">
        <v>166</v>
      </c>
      <c r="I50" s="239"/>
      <c r="J50" s="239"/>
      <c r="K50" s="239"/>
      <c r="L50" s="59" t="s">
        <v>166</v>
      </c>
    </row>
    <row r="51" spans="1:12" x14ac:dyDescent="0.25">
      <c r="A51" s="59" t="s">
        <v>162</v>
      </c>
      <c r="B51" s="12"/>
      <c r="C51" s="12" t="s">
        <v>571</v>
      </c>
      <c r="D51" s="239"/>
      <c r="E51" s="239"/>
      <c r="F51" s="239"/>
      <c r="G51" s="61" t="s">
        <v>162</v>
      </c>
      <c r="H51" s="59" t="s">
        <v>162</v>
      </c>
      <c r="I51" s="239"/>
      <c r="J51" s="239"/>
      <c r="K51" s="239"/>
      <c r="L51" s="59" t="s">
        <v>162</v>
      </c>
    </row>
    <row r="52" spans="1:12" x14ac:dyDescent="0.25">
      <c r="A52" s="59" t="s">
        <v>167</v>
      </c>
      <c r="B52" s="12"/>
      <c r="C52" s="12" t="s">
        <v>574</v>
      </c>
      <c r="D52" s="239"/>
      <c r="E52" s="239"/>
      <c r="F52" s="239"/>
      <c r="G52" s="61" t="s">
        <v>167</v>
      </c>
      <c r="H52" s="59" t="s">
        <v>167</v>
      </c>
      <c r="I52" s="239"/>
      <c r="J52" s="239"/>
      <c r="K52" s="239"/>
      <c r="L52" s="59" t="s">
        <v>167</v>
      </c>
    </row>
    <row r="53" spans="1:12" x14ac:dyDescent="0.25">
      <c r="A53" s="59" t="s">
        <v>173</v>
      </c>
      <c r="B53" s="12" t="s">
        <v>575</v>
      </c>
      <c r="C53" s="12" t="s">
        <v>574</v>
      </c>
      <c r="D53" s="239"/>
      <c r="E53" s="239"/>
      <c r="F53" s="239"/>
      <c r="G53" s="61" t="s">
        <v>349</v>
      </c>
      <c r="H53" s="59" t="s">
        <v>173</v>
      </c>
      <c r="I53" s="239"/>
      <c r="J53" s="239"/>
      <c r="K53" s="239"/>
      <c r="L53" s="59" t="s">
        <v>173</v>
      </c>
    </row>
    <row r="54" spans="1:12" x14ac:dyDescent="0.25">
      <c r="A54" s="59" t="s">
        <v>170</v>
      </c>
      <c r="B54" s="12"/>
      <c r="C54" s="12" t="s">
        <v>574</v>
      </c>
      <c r="D54" s="239"/>
      <c r="E54" s="239"/>
      <c r="F54" s="239"/>
      <c r="G54" s="61" t="s">
        <v>170</v>
      </c>
      <c r="H54" s="59" t="s">
        <v>170</v>
      </c>
      <c r="I54" s="61"/>
      <c r="J54" s="239"/>
      <c r="K54" s="239"/>
      <c r="L54" s="59" t="s">
        <v>170</v>
      </c>
    </row>
    <row r="55" spans="1:12" x14ac:dyDescent="0.25">
      <c r="A55" s="59" t="s">
        <v>168</v>
      </c>
      <c r="B55" s="12"/>
      <c r="C55" s="12" t="s">
        <v>574</v>
      </c>
      <c r="D55" s="239"/>
      <c r="E55" s="239"/>
      <c r="F55" s="239"/>
      <c r="G55" s="61" t="s">
        <v>168</v>
      </c>
      <c r="H55" s="59" t="s">
        <v>168</v>
      </c>
      <c r="I55" s="239"/>
      <c r="J55" s="239"/>
      <c r="K55" s="239"/>
      <c r="L55" s="59" t="s">
        <v>168</v>
      </c>
    </row>
    <row r="56" spans="1:12" x14ac:dyDescent="0.25">
      <c r="A56" s="59" t="s">
        <v>175</v>
      </c>
      <c r="B56" s="12" t="s">
        <v>576</v>
      </c>
      <c r="C56" s="12" t="s">
        <v>574</v>
      </c>
      <c r="D56" s="239"/>
      <c r="E56" s="239"/>
      <c r="F56" s="239"/>
      <c r="G56" s="61" t="s">
        <v>353</v>
      </c>
      <c r="H56" s="59" t="s">
        <v>175</v>
      </c>
      <c r="I56" s="239"/>
      <c r="J56" s="239"/>
      <c r="K56" s="239"/>
      <c r="L56" s="59" t="s">
        <v>175</v>
      </c>
    </row>
    <row r="57" spans="1:12" ht="25.5" x14ac:dyDescent="0.25">
      <c r="A57" s="367" t="s">
        <v>577</v>
      </c>
      <c r="B57" s="13"/>
      <c r="C57" s="12" t="s">
        <v>549</v>
      </c>
      <c r="D57" s="239"/>
      <c r="E57" s="239"/>
      <c r="F57" s="239"/>
      <c r="G57" s="61" t="s">
        <v>577</v>
      </c>
      <c r="H57" s="367" t="s">
        <v>577</v>
      </c>
      <c r="I57" s="239"/>
      <c r="J57" s="239"/>
      <c r="K57" s="239"/>
      <c r="L57" s="367" t="s">
        <v>577</v>
      </c>
    </row>
    <row r="58" spans="1:12" ht="25.5" x14ac:dyDescent="0.25">
      <c r="A58" s="367" t="s">
        <v>578</v>
      </c>
      <c r="B58" s="13"/>
      <c r="C58" s="12" t="s">
        <v>549</v>
      </c>
      <c r="D58" s="239"/>
      <c r="E58" s="239"/>
      <c r="F58" s="239"/>
      <c r="G58" s="61" t="s">
        <v>578</v>
      </c>
      <c r="H58" s="367" t="s">
        <v>578</v>
      </c>
      <c r="I58" s="239"/>
      <c r="J58" s="239"/>
      <c r="K58" s="239"/>
      <c r="L58" s="367" t="s">
        <v>578</v>
      </c>
    </row>
    <row r="59" spans="1:12" ht="25.5" x14ac:dyDescent="0.25">
      <c r="A59" s="367" t="s">
        <v>579</v>
      </c>
      <c r="B59" s="13"/>
      <c r="C59" s="12" t="s">
        <v>549</v>
      </c>
      <c r="D59" s="239"/>
      <c r="E59" s="239"/>
      <c r="F59" s="239"/>
      <c r="G59" s="61" t="s">
        <v>579</v>
      </c>
      <c r="H59" s="367" t="s">
        <v>579</v>
      </c>
      <c r="I59" s="239"/>
      <c r="J59" s="239"/>
      <c r="K59" s="239"/>
      <c r="L59" s="367" t="s">
        <v>579</v>
      </c>
    </row>
    <row r="60" spans="1:12" x14ac:dyDescent="0.25">
      <c r="A60" s="63" t="s">
        <v>580</v>
      </c>
      <c r="B60" s="13"/>
      <c r="C60" s="12" t="s">
        <v>546</v>
      </c>
      <c r="D60" s="239"/>
      <c r="E60" s="239"/>
      <c r="F60" s="239"/>
      <c r="G60" s="61" t="s">
        <v>581</v>
      </c>
      <c r="H60" s="63" t="s">
        <v>580</v>
      </c>
      <c r="I60" s="239"/>
      <c r="J60" s="239"/>
      <c r="K60" s="239"/>
      <c r="L60" s="63" t="s">
        <v>580</v>
      </c>
    </row>
    <row r="61" spans="1:12" s="21" customFormat="1" ht="25.5" x14ac:dyDescent="0.25">
      <c r="A61" s="367" t="s">
        <v>582</v>
      </c>
      <c r="B61" s="13"/>
      <c r="C61" s="12" t="s">
        <v>546</v>
      </c>
      <c r="D61" s="239"/>
      <c r="E61" s="239"/>
      <c r="F61" s="239"/>
      <c r="G61" s="367" t="s">
        <v>582</v>
      </c>
      <c r="H61" s="367" t="s">
        <v>582</v>
      </c>
      <c r="I61" s="239"/>
      <c r="J61" s="239"/>
      <c r="K61" s="239"/>
      <c r="L61" s="367" t="s">
        <v>582</v>
      </c>
    </row>
    <row r="62" spans="1:12" x14ac:dyDescent="0.25">
      <c r="A62" s="64" t="s">
        <v>583</v>
      </c>
      <c r="B62" s="13"/>
      <c r="C62" s="12" t="s">
        <v>546</v>
      </c>
      <c r="D62" s="239"/>
      <c r="E62" s="239"/>
      <c r="F62" s="239"/>
      <c r="G62" s="61" t="s">
        <v>584</v>
      </c>
      <c r="H62" s="64" t="s">
        <v>583</v>
      </c>
      <c r="I62" s="239"/>
      <c r="J62" s="239"/>
      <c r="K62" s="239"/>
      <c r="L62" s="64" t="s">
        <v>583</v>
      </c>
    </row>
    <row r="63" spans="1:12" x14ac:dyDescent="0.25">
      <c r="B63" s="239"/>
      <c r="C63" s="239"/>
      <c r="D63" s="239"/>
      <c r="E63" s="239"/>
      <c r="F63" s="239"/>
      <c r="G63" s="61" t="s">
        <v>140</v>
      </c>
      <c r="H63" s="329" t="s">
        <v>560</v>
      </c>
      <c r="I63" s="239"/>
      <c r="J63" s="239"/>
      <c r="K63" s="239"/>
      <c r="L63" s="239"/>
    </row>
  </sheetData>
  <mergeCells count="3">
    <mergeCell ref="A1:A2"/>
    <mergeCell ref="B1:B2"/>
    <mergeCell ref="C1:C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3BB095929DA22418AD4347A154E4E72" ma:contentTypeVersion="11" ma:contentTypeDescription="Create a new document." ma:contentTypeScope="" ma:versionID="de5e769605f27285f84ad8d2c8f84a4a">
  <xsd:schema xmlns:xsd="http://www.w3.org/2001/XMLSchema" xmlns:xs="http://www.w3.org/2001/XMLSchema" xmlns:p="http://schemas.microsoft.com/office/2006/metadata/properties" xmlns:ns3="c335df25-0155-4680-bb93-415786a39345" xmlns:ns4="c2a5f4c6-8c87-4a63-9535-0352fa176922" targetNamespace="http://schemas.microsoft.com/office/2006/metadata/properties" ma:root="true" ma:fieldsID="e0c6a2e77b12d7a75a55f0cf3458982a" ns3:_="" ns4:_="">
    <xsd:import namespace="c335df25-0155-4680-bb93-415786a39345"/>
    <xsd:import namespace="c2a5f4c6-8c87-4a63-9535-0352fa176922"/>
    <xsd:element name="properties">
      <xsd:complexType>
        <xsd:sequence>
          <xsd:element name="documentManagement">
            <xsd:complexType>
              <xsd:all>
                <xsd:element ref="ns3:SharedWithUsers" minOccurs="0"/>
                <xsd:element ref="ns3:SharingHintHash" minOccurs="0"/>
                <xsd:element ref="ns3:SharedWithDetails"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Location"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35df25-0155-4680-bb93-415786a3934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2a5f4c6-8c87-4a63-9535-0352fa17692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DDC720-E31E-4B6B-A222-F2EC9AE99F14}">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C1CA587-EF9B-431D-A288-795C63198973}">
  <ds:schemaRefs>
    <ds:schemaRef ds:uri="http://schemas.microsoft.com/sharepoint/v3/contenttype/forms"/>
  </ds:schemaRefs>
</ds:datastoreItem>
</file>

<file path=customXml/itemProps3.xml><?xml version="1.0" encoding="utf-8"?>
<ds:datastoreItem xmlns:ds="http://schemas.openxmlformats.org/officeDocument/2006/customXml" ds:itemID="{3303E2C5-DBCD-4F29-B9F6-1BA082291F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35df25-0155-4680-bb93-415786a39345"/>
    <ds:schemaRef ds:uri="c2a5f4c6-8c87-4a63-9535-0352fa1769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16</vt:i4>
      </vt:variant>
    </vt:vector>
  </HeadingPairs>
  <TitlesOfParts>
    <vt:vector size="28" baseType="lpstr">
      <vt:lpstr>R1_NALS overview</vt:lpstr>
      <vt:lpstr>R1_AllData</vt:lpstr>
      <vt:lpstr>R1_ NALS assessment</vt:lpstr>
      <vt:lpstr>R2_NALS overview</vt:lpstr>
      <vt:lpstr>R2_ NALS assessment</vt:lpstr>
      <vt:lpstr>R2_AllData</vt:lpstr>
      <vt:lpstr>Horizon Data units</vt:lpstr>
      <vt:lpstr>NotCollected</vt:lpstr>
      <vt:lpstr>juris</vt:lpstr>
      <vt:lpstr>Rec1_BU</vt:lpstr>
      <vt:lpstr>Parameters</vt:lpstr>
      <vt:lpstr>InspectSumm_Flow</vt:lpstr>
      <vt:lpstr>_R1ChemDiss2020</vt:lpstr>
      <vt:lpstr>BU</vt:lpstr>
      <vt:lpstr>Flow_R1</vt:lpstr>
      <vt:lpstr>Flow_R2</vt:lpstr>
      <vt:lpstr>juris</vt:lpstr>
      <vt:lpstr>'R1_ NALS assessment'!Print_Area</vt:lpstr>
      <vt:lpstr>'R1_AllData'!Print_Area</vt:lpstr>
      <vt:lpstr>'R2_ NALS assessment'!Print_Area</vt:lpstr>
      <vt:lpstr>'R2_AllData'!Print_Area</vt:lpstr>
      <vt:lpstr>'R1_ NALS assessment'!Print_Titles</vt:lpstr>
      <vt:lpstr>'R1_AllData'!Print_Titles</vt:lpstr>
      <vt:lpstr>'R2_ NALS assessment'!Print_Titles</vt:lpstr>
      <vt:lpstr>'R2_AllData'!Print_Titles</vt:lpstr>
      <vt:lpstr>RW</vt:lpstr>
      <vt:lpstr>StationName</vt:lpstr>
      <vt:lpstr>WaterQuality</vt:lpstr>
    </vt:vector>
  </TitlesOfParts>
  <Manager/>
  <Company>OCIT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Given, Suzan</dc:creator>
  <cp:keywords/>
  <dc:description/>
  <cp:lastModifiedBy>Given, Suzan</cp:lastModifiedBy>
  <cp:revision/>
  <dcterms:created xsi:type="dcterms:W3CDTF">2018-12-10T16:06:46Z</dcterms:created>
  <dcterms:modified xsi:type="dcterms:W3CDTF">2021-12-27T19:30:37Z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0x010100E3BB095929DA22418AD4347A154E4E72</vt:lpwstr>
  </property>
</Properties>
</file>