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vens\AppData\Local\Box\Box Edit\Documents\qwUa5u3+PkSeOHfosVZUnA==\"/>
    </mc:Choice>
  </mc:AlternateContent>
  <xr:revisionPtr revIDLastSave="0" documentId="13_ncr:1_{7B78DB86-9352-4C76-BFE2-B1AE7E95706F}" xr6:coauthVersionLast="47" xr6:coauthVersionMax="47" xr10:uidLastSave="{00000000-0000-0000-0000-000000000000}"/>
  <bookViews>
    <workbookView xWindow="28680" yWindow="-120" windowWidth="29040" windowHeight="17640" activeTab="4" xr2:uid="{64358668-9F5B-4BC3-BC85-A30EA1D87B52}"/>
  </bookViews>
  <sheets>
    <sheet name="Station Classification" sheetId="7" r:id="rId1"/>
    <sheet name="Flow Observations" sheetId="1" r:id="rId2"/>
    <sheet name="Flow Observations Pivot" sheetId="4" r:id="rId3"/>
    <sheet name="FIB Results" sheetId="2" r:id="rId4"/>
    <sheet name="FIB Pivot" sheetId="5" r:id="rId5"/>
  </sheets>
  <definedNames>
    <definedName name="_xlnm._FilterDatabase" localSheetId="3" hidden="1">'FIB Results'!$A$1:$P$203</definedName>
    <definedName name="_xlnm._FilterDatabase" localSheetId="1" hidden="1">'Flow Observations'!$A$1:$O$641</definedName>
    <definedName name="_xlnm._FilterDatabase" localSheetId="0" hidden="1">'Station Classification'!$A$1:$M$283</definedName>
    <definedName name="Copermittee">#REF!</definedName>
    <definedName name="CurrentFlowClass">#REF!</definedName>
    <definedName name="sitetype">OFFSET(#REF!,0,0,COUNTA(#REF!)-7)</definedName>
    <definedName name="WMA">#REF!</definedName>
  </definedNames>
  <calcPr calcId="191029"/>
  <pivotCaches>
    <pivotCache cacheId="51" r:id="rId6"/>
    <pivotCache cacheId="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V1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" i="2"/>
  <c r="P10" i="5"/>
  <c r="P69" i="5"/>
  <c r="P63" i="5"/>
  <c r="P6" i="5"/>
  <c r="Q64" i="5"/>
  <c r="P12" i="5"/>
  <c r="Q14" i="5"/>
  <c r="Q9" i="5"/>
  <c r="P68" i="5"/>
  <c r="Q61" i="5"/>
  <c r="Q5" i="5"/>
  <c r="Q69" i="5"/>
  <c r="P65" i="5"/>
  <c r="P14" i="5"/>
  <c r="P9" i="5"/>
  <c r="P67" i="5"/>
  <c r="P61" i="5"/>
  <c r="P5" i="5"/>
  <c r="P60" i="5"/>
  <c r="Q59" i="5"/>
  <c r="P59" i="5"/>
  <c r="Q13" i="5"/>
  <c r="Q8" i="5"/>
  <c r="Q65" i="5"/>
  <c r="Q60" i="5"/>
  <c r="Q4" i="5"/>
  <c r="P13" i="5"/>
  <c r="P8" i="5"/>
  <c r="P4" i="5"/>
  <c r="Q12" i="5"/>
  <c r="Q10" i="5"/>
  <c r="Q67" i="5"/>
  <c r="P64" i="5"/>
  <c r="Q6" i="5"/>
  <c r="Q63" i="5"/>
  <c r="Q68" i="5"/>
  <c r="Q58" i="5"/>
  <c r="P58" i="5"/>
  <c r="Q57" i="5"/>
  <c r="P57" i="5"/>
  <c r="Q56" i="5"/>
  <c r="P56" i="5"/>
  <c r="Q54" i="5"/>
  <c r="P54" i="5"/>
  <c r="Q53" i="5"/>
  <c r="P53" i="5"/>
  <c r="Q52" i="5"/>
  <c r="P52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39" i="5"/>
  <c r="P39" i="5"/>
  <c r="Q38" i="5"/>
  <c r="P38" i="5"/>
  <c r="Q37" i="5"/>
  <c r="P37" i="5"/>
  <c r="Q36" i="5"/>
  <c r="P36" i="5"/>
  <c r="Q35" i="5"/>
  <c r="P35" i="5"/>
  <c r="Q34" i="5"/>
  <c r="P34" i="5"/>
  <c r="Q32" i="5"/>
  <c r="P32" i="5"/>
  <c r="Q31" i="5"/>
  <c r="P31" i="5"/>
  <c r="Q30" i="5"/>
  <c r="P30" i="5"/>
  <c r="Q28" i="5"/>
  <c r="P28" i="5"/>
  <c r="P27" i="5"/>
  <c r="P26" i="5"/>
  <c r="Q27" i="5"/>
  <c r="Q26" i="5"/>
  <c r="Q25" i="5"/>
  <c r="P25" i="5"/>
  <c r="Q24" i="5"/>
  <c r="P24" i="5"/>
  <c r="Q23" i="5"/>
  <c r="P23" i="5"/>
  <c r="Q21" i="5"/>
  <c r="P21" i="5"/>
  <c r="Q20" i="5"/>
  <c r="P20" i="5"/>
  <c r="Q19" i="5"/>
  <c r="P19" i="5"/>
  <c r="Q17" i="5"/>
  <c r="P17" i="5"/>
  <c r="Q16" i="5"/>
  <c r="P16" i="5"/>
  <c r="Q15" i="5"/>
  <c r="P15" i="5"/>
  <c r="S23" i="4"/>
  <c r="S22" i="4"/>
  <c r="S21" i="4"/>
  <c r="R23" i="4"/>
  <c r="R22" i="4"/>
  <c r="R21" i="4"/>
  <c r="Q23" i="4"/>
  <c r="Q22" i="4"/>
  <c r="Q21" i="4"/>
  <c r="S11" i="4"/>
  <c r="S10" i="4"/>
  <c r="S9" i="4"/>
  <c r="S17" i="4"/>
  <c r="S20" i="4"/>
  <c r="S19" i="4"/>
  <c r="S18" i="4"/>
  <c r="Q18" i="4"/>
  <c r="R20" i="4"/>
  <c r="R19" i="4"/>
  <c r="R18" i="4"/>
  <c r="Q20" i="4"/>
  <c r="Q19" i="4"/>
  <c r="R17" i="4"/>
  <c r="R16" i="4"/>
  <c r="R15" i="4"/>
  <c r="Q17" i="4"/>
  <c r="Q16" i="4"/>
  <c r="Q15" i="4"/>
  <c r="S14" i="4"/>
  <c r="S13" i="4"/>
  <c r="S12" i="4"/>
  <c r="R14" i="4"/>
  <c r="R13" i="4"/>
  <c r="R12" i="4"/>
  <c r="Q14" i="4"/>
  <c r="Q13" i="4"/>
  <c r="Q12" i="4"/>
  <c r="R11" i="4"/>
  <c r="R10" i="4"/>
  <c r="R9" i="4"/>
  <c r="Q10" i="4"/>
  <c r="Q9" i="4"/>
  <c r="Q11" i="4"/>
  <c r="S8" i="4"/>
  <c r="S7" i="4"/>
  <c r="S6" i="4"/>
  <c r="R7" i="4"/>
  <c r="R6" i="4"/>
  <c r="R8" i="4"/>
  <c r="Q8" i="4"/>
  <c r="Q7" i="4"/>
  <c r="Q6" i="4"/>
  <c r="S15" i="4"/>
  <c r="S16" i="4"/>
  <c r="R27" i="4"/>
  <c r="Q27" i="4"/>
  <c r="S25" i="4"/>
  <c r="R26" i="4"/>
  <c r="S27" i="4"/>
  <c r="R25" i="4"/>
  <c r="S26" i="4"/>
  <c r="Q25" i="4"/>
  <c r="Q26" i="4"/>
  <c r="R56" i="5" l="1"/>
  <c r="R53" i="5"/>
  <c r="R48" i="5"/>
  <c r="R57" i="5"/>
  <c r="R49" i="5"/>
  <c r="R50" i="5"/>
  <c r="R54" i="5"/>
  <c r="R58" i="5"/>
  <c r="R52" i="5"/>
  <c r="R42" i="5"/>
  <c r="R45" i="5"/>
  <c r="R37" i="5"/>
  <c r="R46" i="5"/>
  <c r="R38" i="5"/>
  <c r="R39" i="5"/>
  <c r="R43" i="5"/>
  <c r="R47" i="5"/>
  <c r="R41" i="5"/>
  <c r="R31" i="5"/>
  <c r="R35" i="5"/>
  <c r="R26" i="5"/>
  <c r="R28" i="5"/>
  <c r="R32" i="5"/>
  <c r="R34" i="5"/>
  <c r="R36" i="5"/>
  <c r="R27" i="5"/>
  <c r="R30" i="5"/>
  <c r="R25" i="5"/>
  <c r="R23" i="5"/>
  <c r="R16" i="5"/>
  <c r="R20" i="5"/>
  <c r="R24" i="5"/>
  <c r="R15" i="5"/>
  <c r="R17" i="5"/>
  <c r="R21" i="5"/>
  <c r="R19" i="5"/>
  <c r="U15" i="5" s="1"/>
  <c r="U21" i="4"/>
  <c r="V21" i="4" s="1"/>
  <c r="U23" i="4"/>
  <c r="V23" i="4" s="1"/>
  <c r="U22" i="4"/>
  <c r="V22" i="4" s="1"/>
  <c r="U20" i="4"/>
  <c r="V20" i="4" s="1"/>
  <c r="U18" i="4"/>
  <c r="V18" i="4" s="1"/>
  <c r="U19" i="4"/>
  <c r="V19" i="4" s="1"/>
  <c r="U15" i="4"/>
  <c r="V15" i="4" s="1"/>
  <c r="U17" i="4"/>
  <c r="V17" i="4" s="1"/>
  <c r="U16" i="4"/>
  <c r="V16" i="4" s="1"/>
  <c r="U13" i="4"/>
  <c r="V13" i="4" s="1"/>
  <c r="U12" i="4"/>
  <c r="U14" i="4"/>
  <c r="V14" i="4" s="1"/>
  <c r="U10" i="4"/>
  <c r="V10" i="4" s="1"/>
  <c r="U9" i="4"/>
  <c r="V9" i="4" s="1"/>
  <c r="U11" i="4"/>
  <c r="V11" i="4" s="1"/>
  <c r="U26" i="4"/>
  <c r="V26" i="4" s="1"/>
  <c r="U25" i="4"/>
  <c r="V25" i="4" s="1"/>
  <c r="U27" i="4"/>
  <c r="V27" i="4" s="1"/>
  <c r="R68" i="5"/>
  <c r="R63" i="5"/>
  <c r="T59" i="5" s="1"/>
  <c r="R67" i="5"/>
  <c r="R10" i="5"/>
  <c r="R65" i="5"/>
  <c r="R8" i="5"/>
  <c r="U4" i="5" s="1"/>
  <c r="R13" i="5"/>
  <c r="R69" i="5"/>
  <c r="R9" i="5"/>
  <c r="R14" i="5"/>
  <c r="R64" i="5"/>
  <c r="R12" i="5"/>
  <c r="R5" i="5"/>
  <c r="R6" i="5"/>
  <c r="R60" i="5"/>
  <c r="R61" i="5"/>
  <c r="R59" i="5"/>
  <c r="Q3" i="4"/>
  <c r="Q5" i="4"/>
  <c r="Q4" i="4"/>
  <c r="S5" i="4"/>
  <c r="S3" i="4"/>
  <c r="R5" i="4"/>
  <c r="R4" i="4"/>
  <c r="R3" i="4"/>
  <c r="S4" i="4"/>
  <c r="U26" i="5" l="1"/>
  <c r="T48" i="5"/>
  <c r="U48" i="5"/>
  <c r="S48" i="5"/>
  <c r="T37" i="5"/>
  <c r="S37" i="5"/>
  <c r="U37" i="5"/>
  <c r="S26" i="5"/>
  <c r="T26" i="5"/>
  <c r="T15" i="5"/>
  <c r="S15" i="5"/>
  <c r="W15" i="4"/>
  <c r="W12" i="4"/>
  <c r="W9" i="4"/>
  <c r="W21" i="4"/>
  <c r="W18" i="4"/>
  <c r="W25" i="4"/>
  <c r="S59" i="5"/>
  <c r="S4" i="5"/>
  <c r="U3" i="4"/>
  <c r="U59" i="5"/>
  <c r="U8" i="4"/>
  <c r="V8" i="4" s="1"/>
  <c r="U7" i="4"/>
  <c r="V7" i="4" s="1"/>
  <c r="U6" i="4"/>
  <c r="V6" i="4" s="1"/>
  <c r="U5" i="4"/>
  <c r="V5" i="4" s="1"/>
  <c r="U4" i="4"/>
  <c r="V4" i="4" s="1"/>
  <c r="R4" i="5"/>
  <c r="T4" i="5" s="1"/>
  <c r="W6" i="4" l="1"/>
  <c r="W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F1" authorId="0" shapeId="0" xr:uid="{33025613-6819-4363-8158-667CCB182C99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Major or non-major MS4 Outfall</t>
        </r>
      </text>
    </comment>
    <comment ref="H1" authorId="0" shapeId="0" xr:uid="{27D869ED-E5BA-4765-A70A-69E9A496AE31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format 2022-2023</t>
        </r>
      </text>
    </comment>
    <comment ref="I1" authorId="0" shapeId="0" xr:uid="{B8460C22-29B3-429B-A4B5-D6E93E5B88FF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"01/15/2023"</t>
        </r>
      </text>
    </comment>
    <comment ref="J1" authorId="0" shapeId="0" xr:uid="{E7417B34-71BE-4342-BE59-4EA232D58BF6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Flow status observed; dry, ponded, flowing</t>
        </r>
      </text>
    </comment>
    <comment ref="K1" authorId="0" shapeId="0" xr:uid="{53E4F877-1468-4AFC-BA59-1C4FCBCAECB5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"Yes" or "No"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A1" authorId="0" shapeId="0" xr:uid="{14D5E9CC-C713-480B-B399-8291EAEA903D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make sure to update pivot table once new data has been added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F1" authorId="0" shapeId="0" xr:uid="{8826283D-99EE-44FE-94E4-4936E72CD43B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Only load sample data, not field qa data</t>
        </r>
      </text>
    </comment>
    <comment ref="J1" authorId="0" shapeId="0" xr:uid="{E75AC706-DA4B-4F97-80A5-F272DE55DF1A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numeric field</t>
        </r>
      </text>
    </comment>
    <comment ref="K1" authorId="0" shapeId="0" xr:uid="{7B1D14C6-6468-4AFA-AA9F-EBF591BE1E7B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data qualifiers including "&gt;" or "&lt;"</t>
        </r>
      </text>
    </comment>
  </commentList>
</comments>
</file>

<file path=xl/sharedStrings.xml><?xml version="1.0" encoding="utf-8"?>
<sst xmlns="http://schemas.openxmlformats.org/spreadsheetml/2006/main" count="11786" uniqueCount="259">
  <si>
    <t>Copermittee</t>
  </si>
  <si>
    <t>WMA</t>
  </si>
  <si>
    <t>HSA #</t>
  </si>
  <si>
    <t>Site Type</t>
  </si>
  <si>
    <t>Station ID</t>
  </si>
  <si>
    <t>Date</t>
  </si>
  <si>
    <t>Flow Status</t>
  </si>
  <si>
    <t>Flow Reaches Receiving Water</t>
  </si>
  <si>
    <t>Estimated Flow Rate</t>
  </si>
  <si>
    <t>Estimated Flow Rate Units</t>
  </si>
  <si>
    <t>Notes</t>
  </si>
  <si>
    <t>Monitoring Year</t>
  </si>
  <si>
    <t xml:space="preserve">Direct Discharge to TMDL </t>
  </si>
  <si>
    <t>Analyte</t>
  </si>
  <si>
    <t>Result</t>
  </si>
  <si>
    <t>Qualifier</t>
  </si>
  <si>
    <t>Result units</t>
  </si>
  <si>
    <t>Latitude (NAD83)</t>
  </si>
  <si>
    <t>Longitude (NAD83)</t>
  </si>
  <si>
    <t>Major MS4 Outfall</t>
  </si>
  <si>
    <t>2020-2021</t>
  </si>
  <si>
    <t>No</t>
  </si>
  <si>
    <t>Dry/No Flow</t>
  </si>
  <si>
    <t>Flowing</t>
  </si>
  <si>
    <t>Ponded</t>
  </si>
  <si>
    <t>Yes</t>
  </si>
  <si>
    <t>Unknown</t>
  </si>
  <si>
    <t>Persistent</t>
  </si>
  <si>
    <t>Grand Total</t>
  </si>
  <si>
    <t>2021-2022</t>
  </si>
  <si>
    <t>E. coli</t>
  </si>
  <si>
    <t>MPN/100 mL</t>
  </si>
  <si>
    <t>TMDL Segment</t>
  </si>
  <si>
    <t>Count of Flow Status</t>
  </si>
  <si>
    <t>Monitoring year</t>
  </si>
  <si>
    <t>Flow Classification</t>
  </si>
  <si>
    <t>Pivot from flow classification for number of observations</t>
  </si>
  <si>
    <t xml:space="preserve">Flow Observations </t>
  </si>
  <si>
    <t>Tidal</t>
  </si>
  <si>
    <t>WQO</t>
  </si>
  <si>
    <t>Exceed</t>
  </si>
  <si>
    <t>Sum of Exceed</t>
  </si>
  <si>
    <t>Values</t>
  </si>
  <si>
    <t>Count of Result</t>
  </si>
  <si>
    <t>SSM</t>
  </si>
  <si>
    <t>Total Number of Samples</t>
  </si>
  <si>
    <t xml:space="preserve">Number Exceeding </t>
  </si>
  <si>
    <t>Percent Exceed</t>
  </si>
  <si>
    <t>Agency</t>
  </si>
  <si>
    <t>Data Source</t>
  </si>
  <si>
    <t>(blank)</t>
  </si>
  <si>
    <t>(blank) Total</t>
  </si>
  <si>
    <t>Percent Non-Dry Flow Observations</t>
  </si>
  <si>
    <t>Proposed Allowable Discharge Frequency</t>
  </si>
  <si>
    <t>Total Site Visits</t>
  </si>
  <si>
    <t>Fecal coliform</t>
  </si>
  <si>
    <t>Enterococcus</t>
  </si>
  <si>
    <t>Proposed Allowable Exceedance Frequency</t>
  </si>
  <si>
    <t>NA</t>
  </si>
  <si>
    <t>HSA</t>
  </si>
  <si>
    <t>L01-749-2d</t>
  </si>
  <si>
    <t>L01-766-8</t>
  </si>
  <si>
    <t>L01-727-3</t>
  </si>
  <si>
    <t>L01-749-3</t>
  </si>
  <si>
    <t>L01-517-6</t>
  </si>
  <si>
    <t>L01-517-2</t>
  </si>
  <si>
    <t>L01-748-2</t>
  </si>
  <si>
    <t>L01-618-2</t>
  </si>
  <si>
    <t>L01-618-5 (L01S09)</t>
  </si>
  <si>
    <t>L01-726-6</t>
  </si>
  <si>
    <t>L01-517-1</t>
  </si>
  <si>
    <t>L01-727-2</t>
  </si>
  <si>
    <t>L01-726-3</t>
  </si>
  <si>
    <t>L01-749-5</t>
  </si>
  <si>
    <t>L01-618-3</t>
  </si>
  <si>
    <t>L01-748-1</t>
  </si>
  <si>
    <t>L01-399-1</t>
  </si>
  <si>
    <t>L01-724-2</t>
  </si>
  <si>
    <t>L01-602-2</t>
  </si>
  <si>
    <t>L01-517-7</t>
  </si>
  <si>
    <t>L01-494-1</t>
  </si>
  <si>
    <t>L01-724-1 (L01S01)</t>
  </si>
  <si>
    <t>L01-766-9</t>
  </si>
  <si>
    <t>L01-726-9</t>
  </si>
  <si>
    <t>L01-726-8</t>
  </si>
  <si>
    <t>L01-514-1</t>
  </si>
  <si>
    <t>L01-727-1 (L01S04)</t>
  </si>
  <si>
    <t>L01-517-3</t>
  </si>
  <si>
    <t>L01-601-1</t>
  </si>
  <si>
    <t>L01-618-4</t>
  </si>
  <si>
    <t>L01-618-1</t>
  </si>
  <si>
    <t>L01-766-2 (L01S06)</t>
  </si>
  <si>
    <t>L01-747-1</t>
  </si>
  <si>
    <t>L01-556-1</t>
  </si>
  <si>
    <t>L01-766-4</t>
  </si>
  <si>
    <t>L01-766-3</t>
  </si>
  <si>
    <t>L01-766-5</t>
  </si>
  <si>
    <t>L01-726-2</t>
  </si>
  <si>
    <t>L01-726-5</t>
  </si>
  <si>
    <t>L01-766-7</t>
  </si>
  <si>
    <t>L01-724-4 (L01P03)</t>
  </si>
  <si>
    <t>L01-726-7</t>
  </si>
  <si>
    <t>L01-471-1</t>
  </si>
  <si>
    <t>L01-458-1</t>
  </si>
  <si>
    <t>L01-747-2</t>
  </si>
  <si>
    <t>L01-399-2</t>
  </si>
  <si>
    <t>L01-517-8</t>
  </si>
  <si>
    <t>2022-23</t>
  </si>
  <si>
    <t>San Juan Creek</t>
  </si>
  <si>
    <t>SAN JUAN CAPISTRANO</t>
  </si>
  <si>
    <t>DANA POINT</t>
  </si>
  <si>
    <t>ORANGE CO</t>
  </si>
  <si>
    <t>Undetermined</t>
  </si>
  <si>
    <t>None - Flow Infiltrates or Outfall is Dry</t>
  </si>
  <si>
    <t>Dry</t>
  </si>
  <si>
    <t>2021-22</t>
  </si>
  <si>
    <t>2020-21</t>
  </si>
  <si>
    <t>Inaccessable</t>
  </si>
  <si>
    <t>inaccessible</t>
  </si>
  <si>
    <t>Pooled or Ponded</t>
  </si>
  <si>
    <t>Other - See Comments</t>
  </si>
  <si>
    <t>Direct Connection</t>
  </si>
  <si>
    <t>Partial - Significant Distance</t>
  </si>
  <si>
    <t>Unsafe to Access</t>
  </si>
  <si>
    <t>cfs</t>
  </si>
  <si>
    <t>Volumetric</t>
  </si>
  <si>
    <t>Floating leaf</t>
  </si>
  <si>
    <t>https://data-ocpw.opendata.arcgis.com/datasets/outfall-locations-and-observations-combined/explore</t>
  </si>
  <si>
    <t>L01-728-3 (L01S02)</t>
  </si>
  <si>
    <t>L01-728-4</t>
  </si>
  <si>
    <t>L01-728-5 (L01-DP)</t>
  </si>
  <si>
    <t>L01-728-6</t>
  </si>
  <si>
    <t>L01-728-8d</t>
  </si>
  <si>
    <t>L01-728-9</t>
  </si>
  <si>
    <t>Capistrano Beach</t>
  </si>
  <si>
    <t>Lower SJC</t>
  </si>
  <si>
    <t>LAKE FOREST</t>
  </si>
  <si>
    <t>MISSION VIEJO</t>
  </si>
  <si>
    <t>ALISO VIEJO</t>
  </si>
  <si>
    <t>LAGUNA NIGUEL</t>
  </si>
  <si>
    <t>LAGUNA WOODS</t>
  </si>
  <si>
    <t>J01-10004-2</t>
  </si>
  <si>
    <t>J01-9066-2 (J01P03)</t>
  </si>
  <si>
    <t>J01-10006-1</t>
  </si>
  <si>
    <t>J01-9259-3</t>
  </si>
  <si>
    <t>J01-9992-1 (J01P27)</t>
  </si>
  <si>
    <t>J01-9082-2</t>
  </si>
  <si>
    <t>J01-9082-3</t>
  </si>
  <si>
    <t>J01-9275-1</t>
  </si>
  <si>
    <t>J01-9046-3</t>
  </si>
  <si>
    <t>J01-9005-1 (J03P05)</t>
  </si>
  <si>
    <t>J01-9082-4</t>
  </si>
  <si>
    <t>J01-9782-1 (J01TBN3)</t>
  </si>
  <si>
    <t>J01-9785-1</t>
  </si>
  <si>
    <t>J01-9275-2</t>
  </si>
  <si>
    <t>J01-9005-3</t>
  </si>
  <si>
    <t>J01-9008-1 (J01P30)</t>
  </si>
  <si>
    <t>J01-9264-1 (J01P06)</t>
  </si>
  <si>
    <t>J01-9031-1</t>
  </si>
  <si>
    <t>J01-9033-1</t>
  </si>
  <si>
    <t>J01-9040-1</t>
  </si>
  <si>
    <t>J01-9224-2 (J01P25)</t>
  </si>
  <si>
    <t>J01-9046-1</t>
  </si>
  <si>
    <t>J01-9313-1</t>
  </si>
  <si>
    <t>J01-10019-1 (J01P33)</t>
  </si>
  <si>
    <t>J01-9007-1 (J02P05)</t>
  </si>
  <si>
    <t>J01-9144-1 (J01P23)</t>
  </si>
  <si>
    <t>J01-9144-4 (J01P26)</t>
  </si>
  <si>
    <t>J01-9364-4</t>
  </si>
  <si>
    <t>J01-9364-3 (J01P21)</t>
  </si>
  <si>
    <t>J01-9066-1 (J01P04)</t>
  </si>
  <si>
    <t>J01-9131-1 (J01P28)</t>
  </si>
  <si>
    <t>J01-9377-1</t>
  </si>
  <si>
    <t>J01-10017-1 (J01TBN4)</t>
  </si>
  <si>
    <t>J01-10041-2 (J03P13)</t>
  </si>
  <si>
    <t>J01-9046-2</t>
  </si>
  <si>
    <t>J01-10004-1 (J01P01)</t>
  </si>
  <si>
    <t>J01-9273-1</t>
  </si>
  <si>
    <t>J01-9377-2 (J01TBN8)</t>
  </si>
  <si>
    <t>J01-10012-3</t>
  </si>
  <si>
    <t>J01-9349-1</t>
  </si>
  <si>
    <t>J01-9224-1 (J01P24)</t>
  </si>
  <si>
    <t>Aliso Creek</t>
  </si>
  <si>
    <t>Direct</t>
  </si>
  <si>
    <t>SJC Lower 1  mile</t>
  </si>
  <si>
    <t>https://data-ocpw.opendata.arcgis.com/datasets/outfall-locations-and-observations-combined/explore Total</t>
  </si>
  <si>
    <t>2022-2023</t>
  </si>
  <si>
    <t>J01-10004-1</t>
  </si>
  <si>
    <t>J03-9221-1</t>
  </si>
  <si>
    <t>J01-9224-1</t>
  </si>
  <si>
    <t>J01-9224-2</t>
  </si>
  <si>
    <t>J01-9992-1</t>
  </si>
  <si>
    <t>J01-9131-1</t>
  </si>
  <si>
    <t>J01-9007-1</t>
  </si>
  <si>
    <t>J06-9079-1</t>
  </si>
  <si>
    <t>J06-10011-1</t>
  </si>
  <si>
    <t>L01-728-5</t>
  </si>
  <si>
    <t>05/16/2023 08:10</t>
  </si>
  <si>
    <t>05/16/2023 09:53</t>
  </si>
  <si>
    <t>05/23/2023 11:14</t>
  </si>
  <si>
    <t>05/23/2023 09:08</t>
  </si>
  <si>
    <t>05/23/2023 09:54</t>
  </si>
  <si>
    <t>06/21/2023 12:36</t>
  </si>
  <si>
    <t>06/21/2023 11:46</t>
  </si>
  <si>
    <t>06/21/2023 10:10</t>
  </si>
  <si>
    <t>05/30/2023 10:59</t>
  </si>
  <si>
    <t>05/30/2023 11:41</t>
  </si>
  <si>
    <t>05/30/2023 09:21</t>
  </si>
  <si>
    <t>06/21/2023 11:35</t>
  </si>
  <si>
    <t>06/21/2023 12:00</t>
  </si>
  <si>
    <t>08/01/2023 08:56</t>
  </si>
  <si>
    <t>08/01/2023 08:32</t>
  </si>
  <si>
    <t>08/01/2023 12:10</t>
  </si>
  <si>
    <t>08/03/2023 09:43</t>
  </si>
  <si>
    <t>08/08/2023 09:04</t>
  </si>
  <si>
    <t>08/09/2023 08:09</t>
  </si>
  <si>
    <t>08/09/2023 09:31</t>
  </si>
  <si>
    <t>08/09/2023 10:59</t>
  </si>
  <si>
    <t>08/15/2023 08:24</t>
  </si>
  <si>
    <t>08/15/2023 09:16</t>
  </si>
  <si>
    <t>09/06/2023 10:50</t>
  </si>
  <si>
    <t>09/06/2023 09:02</t>
  </si>
  <si>
    <t>09/06/2023 10:00</t>
  </si>
  <si>
    <t>09/27/2023 10:40</t>
  </si>
  <si>
    <t>ENT</t>
  </si>
  <si>
    <t>FC</t>
  </si>
  <si>
    <t>&gt;2400</t>
  </si>
  <si>
    <t>&lt;9</t>
  </si>
  <si>
    <t>EC</t>
  </si>
  <si>
    <t>CFU/100 mL</t>
  </si>
  <si>
    <t>&gt;</t>
  </si>
  <si>
    <t>&gt;=</t>
  </si>
  <si>
    <t>&lt;</t>
  </si>
  <si>
    <t>6/15/2022 11:34</t>
  </si>
  <si>
    <t>6/15/2022 12:12</t>
  </si>
  <si>
    <t>6/15/2022 12:30</t>
  </si>
  <si>
    <t>6/23/2022 9:58</t>
  </si>
  <si>
    <t>6/23/2022 9:17</t>
  </si>
  <si>
    <t>6/23/2022 11:26</t>
  </si>
  <si>
    <t>6/23/2022 10:19</t>
  </si>
  <si>
    <t>6/21/2022 10:40</t>
  </si>
  <si>
    <t>6/22/2022 12:29</t>
  </si>
  <si>
    <t>8/18/2022 10:35</t>
  </si>
  <si>
    <t>8/18/2022 10:57</t>
  </si>
  <si>
    <t>8/18/2022 9:03</t>
  </si>
  <si>
    <t>8/18/2022 9:54</t>
  </si>
  <si>
    <t>8/22/2022 8:53</t>
  </si>
  <si>
    <t>9/7/2022 9:23</t>
  </si>
  <si>
    <t>9/7/2022 8:50</t>
  </si>
  <si>
    <t>9/8/2022 9:41</t>
  </si>
  <si>
    <t>8/9/2022 11:20</t>
  </si>
  <si>
    <t>9/8/2022 11:59</t>
  </si>
  <si>
    <t>&gt;=250</t>
  </si>
  <si>
    <t>Aliso Creek Total</t>
  </si>
  <si>
    <t>Lower SJC Total</t>
  </si>
  <si>
    <t>J03-9221-1 (J03P02)</t>
  </si>
  <si>
    <t>ALL</t>
  </si>
  <si>
    <t>ALL (Total)</t>
  </si>
  <si>
    <t>LAGNUNA NIGUEL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</si>
</sst>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8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64E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0" fontId="0" fillId="0" borderId="0" xfId="0" pivotButton="1"/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10" fontId="0" fillId="0" borderId="0" xfId="0" applyNumberFormat="1"/>
    <xf numFmtId="10" fontId="6" fillId="4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0" fontId="5" fillId="0" borderId="0" xfId="0" applyFont="1" applyFill="1"/>
    <xf numFmtId="2" fontId="0" fillId="0" borderId="0" xfId="0" applyNumberFormat="1"/>
    <xf numFmtId="2" fontId="5" fillId="0" borderId="0" xfId="0" applyNumberFormat="1" applyFont="1"/>
    <xf numFmtId="0" fontId="8" fillId="0" borderId="0" xfId="0" applyFont="1"/>
    <xf numFmtId="0" fontId="9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2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22" fontId="10" fillId="0" borderId="0" xfId="0" applyNumberFormat="1" applyFont="1" applyBorder="1" applyAlignment="1">
      <alignment horizontal="center"/>
    </xf>
    <xf numFmtId="10" fontId="0" fillId="0" borderId="2" xfId="0" applyNumberFormat="1" applyBorder="1"/>
    <xf numFmtId="1" fontId="0" fillId="0" borderId="0" xfId="0" applyNumberFormat="1"/>
    <xf numFmtId="1" fontId="1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 wrapText="1"/>
    </xf>
    <xf numFmtId="10" fontId="6" fillId="4" borderId="4" xfId="0" applyNumberFormat="1" applyFont="1" applyFill="1" applyBorder="1" applyAlignment="1">
      <alignment horizontal="center" vertical="center" wrapText="1"/>
    </xf>
    <xf numFmtId="10" fontId="6" fillId="4" borderId="5" xfId="0" applyNumberFormat="1" applyFont="1" applyFill="1" applyBorder="1" applyAlignment="1">
      <alignment horizontal="center" vertical="center" wrapText="1"/>
    </xf>
    <xf numFmtId="10" fontId="6" fillId="4" borderId="6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5" borderId="0" xfId="0" applyNumberFormat="1" applyFill="1"/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 applyAlignment="1"/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9" fontId="0" fillId="0" borderId="4" xfId="0" applyNumberFormat="1" applyBorder="1"/>
    <xf numFmtId="9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9" fontId="0" fillId="0" borderId="7" xfId="0" applyNumberFormat="1" applyBorder="1"/>
    <xf numFmtId="0" fontId="0" fillId="0" borderId="8" xfId="0" applyBorder="1" applyAlignme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9" fontId="0" fillId="0" borderId="10" xfId="0" applyNumberFormat="1" applyBorder="1"/>
    <xf numFmtId="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ven, Suzan" refreshedDate="45264.325059606483" createdVersion="8" refreshedVersion="8" minRefreshableVersion="3" recordCount="201" xr:uid="{076D9136-2EBE-4123-B5E1-F56E5E5C9DFA}">
  <cacheSource type="worksheet">
    <worksheetSource ref="A1:P202" sheet="FIB Results"/>
  </cacheSource>
  <cacheFields count="16">
    <cacheField name="Copermittee" numFmtId="0">
      <sharedItems count="5">
        <s v="LAKE FOREST"/>
        <s v="LAGUNA NIGUEL"/>
        <s v="ALISO VIEJO"/>
        <s v="DANA POINT"/>
        <s v="LAGUNA WOODS"/>
      </sharedItems>
    </cacheField>
    <cacheField name="WMA" numFmtId="0">
      <sharedItems/>
    </cacheField>
    <cacheField name="HSA #" numFmtId="0">
      <sharedItems containsSemiMixedTypes="0" containsString="0" containsNumber="1" minValue="901.13" maxValue="901.27"/>
    </cacheField>
    <cacheField name="TMDL Segment" numFmtId="0">
      <sharedItems containsBlank="1" count="3">
        <s v="Aliso Creek"/>
        <m/>
        <s v="Lower SJC"/>
      </sharedItems>
    </cacheField>
    <cacheField name="Site Type" numFmtId="0">
      <sharedItems/>
    </cacheField>
    <cacheField name="Station ID" numFmtId="0">
      <sharedItems/>
    </cacheField>
    <cacheField name="Monitoring Year" numFmtId="0">
      <sharedItems count="3">
        <s v="2022-2023"/>
        <s v="2021-2022"/>
        <s v="2020-2021"/>
      </sharedItems>
    </cacheField>
    <cacheField name="Date" numFmtId="0">
      <sharedItems containsDate="1" containsMixedTypes="1" minDate="2021-05-26T07:34:00" maxDate="2021-09-16T09:39:00"/>
    </cacheField>
    <cacheField name="Analyte" numFmtId="0">
      <sharedItems count="3">
        <s v="ENT"/>
        <s v="FC"/>
        <s v="EC"/>
      </sharedItems>
    </cacheField>
    <cacheField name="Result" numFmtId="0">
      <sharedItems containsMixedTypes="1" containsNumber="1" containsInteger="1" minValue="9" maxValue="640000"/>
    </cacheField>
    <cacheField name="Qualifier" numFmtId="0">
      <sharedItems containsBlank="1"/>
    </cacheField>
    <cacheField name="Result units" numFmtId="0">
      <sharedItems/>
    </cacheField>
    <cacheField name="WQO" numFmtId="0">
      <sharedItems containsSemiMixedTypes="0" containsString="0" containsNumber="1" containsInteger="1" minValue="110" maxValue="400"/>
    </cacheField>
    <cacheField name="Exceed" numFmtId="1">
      <sharedItems containsSemiMixedTypes="0" containsString="0" containsNumber="1" containsInteger="1" minValue="0" maxValue="1"/>
    </cacheField>
    <cacheField name="Data Source" numFmtId="0">
      <sharedItems containsNonDate="0" containsString="0" containsBlank="1" count="1">
        <m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ven, Suzan" refreshedDate="45264.32505983796" createdVersion="8" refreshedVersion="8" minRefreshableVersion="3" recordCount="640" xr:uid="{21E857A7-C7F2-46F3-85EE-623E0B3C8D34}">
  <cacheSource type="worksheet">
    <worksheetSource ref="A1:O641" sheet="Flow Observations"/>
  </cacheSource>
  <cacheFields count="15">
    <cacheField name="Copermittee" numFmtId="0">
      <sharedItems count="8">
        <s v="ORANGE CO"/>
        <s v="SAN JUAN CAPISTRANO"/>
        <s v="DANA POINT"/>
        <s v="MISSION VIEJO"/>
        <s v="LAKE FOREST"/>
        <s v="ALISO VIEJO"/>
        <s v="LAGUNA NIGUEL"/>
        <s v="LAGUNA WOODS"/>
      </sharedItems>
    </cacheField>
    <cacheField name="WMA" numFmtId="0">
      <sharedItems/>
    </cacheField>
    <cacheField name="HSA #" numFmtId="0">
      <sharedItems containsSemiMixedTypes="0" containsString="0" containsNumber="1" minValue="901.13" maxValue="901.27"/>
    </cacheField>
    <cacheField name="TMDL Segment" numFmtId="0">
      <sharedItems containsBlank="1" count="4">
        <m/>
        <s v="Lower SJC"/>
        <s v="Capistrano Beach"/>
        <s v="Aliso Creek"/>
      </sharedItems>
    </cacheField>
    <cacheField name="Direct Discharge to TMDL " numFmtId="0">
      <sharedItems containsBlank="1"/>
    </cacheField>
    <cacheField name="Site Type" numFmtId="0">
      <sharedItems/>
    </cacheField>
    <cacheField name="Station ID" numFmtId="0">
      <sharedItems/>
    </cacheField>
    <cacheField name="Monitoring Year" numFmtId="0">
      <sharedItems count="3">
        <s v="2020-21"/>
        <s v="2021-22"/>
        <s v="2022-23"/>
      </sharedItems>
    </cacheField>
    <cacheField name="Date" numFmtId="14">
      <sharedItems containsSemiMixedTypes="0" containsNonDate="0" containsDate="1" containsString="0" minDate="2021-04-13T00:00:00" maxDate="2023-09-28T00:00:00"/>
    </cacheField>
    <cacheField name="Flow Status" numFmtId="0">
      <sharedItems count="5">
        <s v="Dry"/>
        <s v="Flowing"/>
        <s v="Pooled or Ponded"/>
        <s v="Other - See Comments"/>
        <s v="NA"/>
      </sharedItems>
    </cacheField>
    <cacheField name="Flow Reaches Receiving Water" numFmtId="0">
      <sharedItems/>
    </cacheField>
    <cacheField name="Estimated Flow Rate" numFmtId="2">
      <sharedItems containsMixedTypes="1" containsNumber="1" minValue="0" maxValue="3.1103999999999998"/>
    </cacheField>
    <cacheField name="Estimated Flow Rate Units" numFmtId="0">
      <sharedItems/>
    </cacheField>
    <cacheField name="Data Source" numFmtId="0">
      <sharedItems count="1">
        <s v="https://data-ocpw.opendata.arcgis.com/datasets/outfall-locations-and-observations-combined/explore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Aliso Creek"/>
    <n v="901.13"/>
    <x v="0"/>
    <s v="Major MS4 Outfall"/>
    <s v="J01-9377-1"/>
    <x v="0"/>
    <s v="05/16/2023 08:10"/>
    <x v="0"/>
    <n v="4200"/>
    <m/>
    <s v="CFU/100 mL"/>
    <n v="110"/>
    <n v="1"/>
    <x v="0"/>
    <m/>
  </r>
  <r>
    <x v="0"/>
    <s v="Aliso Creek"/>
    <n v="901.13"/>
    <x v="0"/>
    <s v="Major MS4 Outfall"/>
    <s v="J01-10004-1"/>
    <x v="0"/>
    <s v="05/16/2023 09:53"/>
    <x v="0"/>
    <n v="10100"/>
    <m/>
    <s v="CFU/100 mL"/>
    <n v="110"/>
    <n v="1"/>
    <x v="0"/>
    <m/>
  </r>
  <r>
    <x v="1"/>
    <s v="Aliso Creek"/>
    <n v="901.13"/>
    <x v="0"/>
    <s v="Major MS4 Outfall"/>
    <s v="J03-9221-1"/>
    <x v="0"/>
    <s v="05/23/2023 11:14"/>
    <x v="0"/>
    <n v="8700"/>
    <m/>
    <s v="CFU/100 mL"/>
    <n v="110"/>
    <n v="1"/>
    <x v="0"/>
    <m/>
  </r>
  <r>
    <x v="1"/>
    <s v="Aliso Creek"/>
    <n v="901.13"/>
    <x v="0"/>
    <s v="Major MS4 Outfall"/>
    <s v="J01-9224-1"/>
    <x v="0"/>
    <s v="05/23/2023 09:08"/>
    <x v="0"/>
    <n v="530"/>
    <m/>
    <s v="CFU/100 mL"/>
    <n v="110"/>
    <n v="1"/>
    <x v="0"/>
    <m/>
  </r>
  <r>
    <x v="1"/>
    <s v="Aliso Creek"/>
    <n v="901.13"/>
    <x v="0"/>
    <s v="Major MS4 Outfall"/>
    <s v="J01-9224-2"/>
    <x v="0"/>
    <s v="05/23/2023 09:54"/>
    <x v="0"/>
    <n v="550"/>
    <m/>
    <s v="CFU/100 mL"/>
    <n v="110"/>
    <n v="1"/>
    <x v="0"/>
    <m/>
  </r>
  <r>
    <x v="2"/>
    <s v="Aliso Creek"/>
    <n v="901.13"/>
    <x v="0"/>
    <s v="Major MS4 Outfall"/>
    <s v="J01-9992-1"/>
    <x v="0"/>
    <s v="06/21/2023 12:36"/>
    <x v="0"/>
    <n v="2500"/>
    <m/>
    <s v="CFU/100 mL"/>
    <n v="110"/>
    <n v="1"/>
    <x v="0"/>
    <m/>
  </r>
  <r>
    <x v="2"/>
    <s v="Aliso Creek"/>
    <n v="901.13"/>
    <x v="0"/>
    <s v="Major MS4 Outfall"/>
    <s v="J01-9131-1"/>
    <x v="0"/>
    <s v="06/21/2023 11:46"/>
    <x v="0"/>
    <n v="21000"/>
    <m/>
    <s v="CFU/100 mL"/>
    <n v="110"/>
    <n v="1"/>
    <x v="0"/>
    <m/>
  </r>
  <r>
    <x v="2"/>
    <s v="Aliso Creek"/>
    <n v="901.13"/>
    <x v="0"/>
    <s v="Major MS4 Outfall"/>
    <s v="J01-9007-1"/>
    <x v="0"/>
    <s v="06/21/2023 10:10"/>
    <x v="0"/>
    <n v="4100"/>
    <m/>
    <s v="CFU/100 mL"/>
    <n v="110"/>
    <n v="1"/>
    <x v="0"/>
    <m/>
  </r>
  <r>
    <x v="2"/>
    <s v="Aliso Creek"/>
    <n v="901.13"/>
    <x v="1"/>
    <s v="Major MS4 Outfall"/>
    <s v="J06-9079-1"/>
    <x v="0"/>
    <s v="05/30/2023 10:59"/>
    <x v="0"/>
    <n v="1100"/>
    <m/>
    <s v="MPN/100 mL"/>
    <n v="110"/>
    <n v="1"/>
    <x v="0"/>
    <m/>
  </r>
  <r>
    <x v="2"/>
    <s v="Aliso Creek"/>
    <n v="901.13"/>
    <x v="1"/>
    <s v="Major MS4 Outfall"/>
    <s v="J06-10011-1"/>
    <x v="0"/>
    <s v="05/30/2023 11:41"/>
    <x v="0"/>
    <n v="260"/>
    <m/>
    <s v="MPN/100 mL"/>
    <n v="110"/>
    <n v="1"/>
    <x v="0"/>
    <m/>
  </r>
  <r>
    <x v="2"/>
    <s v="Aliso Creek"/>
    <n v="901.13"/>
    <x v="0"/>
    <s v="Major MS4 Outfall"/>
    <s v="J01-9082-2"/>
    <x v="0"/>
    <s v="05/30/2023 09:21"/>
    <x v="0"/>
    <n v="420"/>
    <m/>
    <s v="MPN/100 mL"/>
    <n v="110"/>
    <n v="1"/>
    <x v="0"/>
    <m/>
  </r>
  <r>
    <x v="3"/>
    <s v="San Juan Creek"/>
    <n v="901.27"/>
    <x v="2"/>
    <s v="Major MS4 Outfall"/>
    <s v="L01-726-5"/>
    <x v="0"/>
    <s v="06/21/2023 11:35"/>
    <x v="0"/>
    <n v="2600"/>
    <m/>
    <s v="CFU/100 mL"/>
    <n v="110"/>
    <n v="1"/>
    <x v="0"/>
    <m/>
  </r>
  <r>
    <x v="3"/>
    <s v="San Juan Creek"/>
    <n v="901.27"/>
    <x v="2"/>
    <s v="Major MS4 Outfall"/>
    <s v="L01-728-5"/>
    <x v="0"/>
    <s v="06/21/2023 12:00"/>
    <x v="0"/>
    <n v="11300"/>
    <m/>
    <s v="CFU/100 mL"/>
    <n v="110"/>
    <n v="1"/>
    <x v="0"/>
    <m/>
  </r>
  <r>
    <x v="1"/>
    <s v="Aliso Creek"/>
    <n v="901.13"/>
    <x v="0"/>
    <s v="Major MS4 Outfall"/>
    <s v="J01-9224-1"/>
    <x v="0"/>
    <s v="08/01/2023 08:56"/>
    <x v="0"/>
    <n v="7900"/>
    <m/>
    <s v="CFU/100 mL"/>
    <n v="110"/>
    <n v="1"/>
    <x v="0"/>
    <m/>
  </r>
  <r>
    <x v="0"/>
    <s v="Aliso Creek"/>
    <n v="901.13"/>
    <x v="0"/>
    <s v="Major MS4 Outfall"/>
    <s v="J01-10004-1"/>
    <x v="0"/>
    <s v="08/01/2023 08:32"/>
    <x v="0"/>
    <n v="26000"/>
    <m/>
    <s v="CFU/100 mL"/>
    <n v="110"/>
    <n v="1"/>
    <x v="0"/>
    <m/>
  </r>
  <r>
    <x v="1"/>
    <s v="Aliso Creek"/>
    <n v="901.13"/>
    <x v="0"/>
    <s v="Major MS4 Outfall"/>
    <s v="J01-9224-2"/>
    <x v="0"/>
    <s v="08/01/2023 12:10"/>
    <x v="0"/>
    <n v="50"/>
    <m/>
    <s v="CFU/100 mL"/>
    <n v="110"/>
    <n v="0"/>
    <x v="0"/>
    <m/>
  </r>
  <r>
    <x v="4"/>
    <s v="Aliso Creek"/>
    <n v="901.13"/>
    <x v="0"/>
    <s v="Major MS4 Outfall"/>
    <s v="J01-9273-1"/>
    <x v="0"/>
    <s v="08/03/2023 09:43"/>
    <x v="0"/>
    <n v="330"/>
    <m/>
    <s v="CFU/100 mL"/>
    <n v="110"/>
    <n v="1"/>
    <x v="0"/>
    <m/>
  </r>
  <r>
    <x v="1"/>
    <s v="Aliso Creek"/>
    <n v="901.13"/>
    <x v="0"/>
    <s v="Major MS4 Outfall"/>
    <s v="J03-9221-1"/>
    <x v="0"/>
    <s v="08/08/2023 09:04"/>
    <x v="0"/>
    <n v="960"/>
    <m/>
    <s v="CFU/100 mL"/>
    <n v="110"/>
    <n v="1"/>
    <x v="0"/>
    <m/>
  </r>
  <r>
    <x v="2"/>
    <s v="Aliso Creek"/>
    <n v="901.13"/>
    <x v="1"/>
    <s v="Major MS4 Outfall"/>
    <s v="J06-10011-1"/>
    <x v="0"/>
    <s v="08/09/2023 08:09"/>
    <x v="0"/>
    <n v="640000"/>
    <m/>
    <s v="CFU/100 mL"/>
    <n v="110"/>
    <n v="1"/>
    <x v="0"/>
    <m/>
  </r>
  <r>
    <x v="2"/>
    <s v="Aliso Creek"/>
    <n v="901.13"/>
    <x v="1"/>
    <s v="Major MS4 Outfall"/>
    <s v="J06-9079-1"/>
    <x v="0"/>
    <s v="08/09/2023 09:31"/>
    <x v="0"/>
    <n v="8800"/>
    <m/>
    <s v="CFU/100 mL"/>
    <n v="110"/>
    <n v="1"/>
    <x v="0"/>
    <m/>
  </r>
  <r>
    <x v="2"/>
    <s v="Aliso Creek"/>
    <n v="901.13"/>
    <x v="0"/>
    <s v="Major MS4 Outfall"/>
    <s v="J01-9082-2"/>
    <x v="0"/>
    <s v="08/09/2023 10:59"/>
    <x v="0"/>
    <n v="30000"/>
    <m/>
    <s v="CFU/100 mL"/>
    <n v="110"/>
    <n v="1"/>
    <x v="0"/>
    <m/>
  </r>
  <r>
    <x v="3"/>
    <s v="San Juan Creek"/>
    <n v="901.27"/>
    <x v="2"/>
    <s v="Major MS4 Outfall"/>
    <s v="L01-726-5"/>
    <x v="0"/>
    <s v="08/15/2023 08:24"/>
    <x v="0"/>
    <n v="1760"/>
    <m/>
    <s v="CFU/100 mL"/>
    <n v="110"/>
    <n v="1"/>
    <x v="0"/>
    <m/>
  </r>
  <r>
    <x v="3"/>
    <s v="San Juan Creek"/>
    <n v="901.27"/>
    <x v="2"/>
    <s v="Major MS4 Outfall"/>
    <s v="L01-728-5"/>
    <x v="0"/>
    <s v="08/15/2023 09:16"/>
    <x v="0"/>
    <n v="2200"/>
    <m/>
    <s v="CFU/100 mL"/>
    <n v="110"/>
    <n v="1"/>
    <x v="0"/>
    <m/>
  </r>
  <r>
    <x v="2"/>
    <s v="Aliso Creek"/>
    <n v="901.13"/>
    <x v="0"/>
    <s v="Major MS4 Outfall"/>
    <s v="J01-9992-1"/>
    <x v="0"/>
    <s v="09/06/2023 10:50"/>
    <x v="0"/>
    <n v="13600"/>
    <m/>
    <s v="CFU/100 mL"/>
    <n v="110"/>
    <n v="1"/>
    <x v="0"/>
    <m/>
  </r>
  <r>
    <x v="2"/>
    <s v="Aliso Creek"/>
    <n v="901.13"/>
    <x v="0"/>
    <s v="Major MS4 Outfall"/>
    <s v="J01-9007-1"/>
    <x v="0"/>
    <s v="09/06/2023 09:02"/>
    <x v="0"/>
    <n v="5500"/>
    <m/>
    <s v="CFU/100 mL"/>
    <n v="110"/>
    <n v="1"/>
    <x v="0"/>
    <m/>
  </r>
  <r>
    <x v="2"/>
    <s v="Aliso Creek"/>
    <n v="901.13"/>
    <x v="0"/>
    <s v="Major MS4 Outfall"/>
    <s v="J01-9082-2"/>
    <x v="0"/>
    <s v="09/06/2023 10:00"/>
    <x v="0"/>
    <n v="2200"/>
    <m/>
    <s v="CFU/100 mL"/>
    <n v="110"/>
    <n v="1"/>
    <x v="0"/>
    <m/>
  </r>
  <r>
    <x v="2"/>
    <s v="Aliso Creek"/>
    <n v="901.13"/>
    <x v="0"/>
    <s v="Major MS4 Outfall"/>
    <s v="J01-9131-1"/>
    <x v="0"/>
    <s v="09/27/2023 10:40"/>
    <x v="0"/>
    <n v="5400"/>
    <m/>
    <s v="CFU/100 mL"/>
    <n v="110"/>
    <n v="1"/>
    <x v="0"/>
    <m/>
  </r>
  <r>
    <x v="0"/>
    <s v="Aliso Creek"/>
    <n v="901.13"/>
    <x v="0"/>
    <s v="Major MS4 Outfall"/>
    <s v="J01-9377-1"/>
    <x v="0"/>
    <s v="05/16/2023 08:10"/>
    <x v="1"/>
    <n v="130"/>
    <m/>
    <s v="CFU/100 mL"/>
    <n v="400"/>
    <n v="0"/>
    <x v="0"/>
    <m/>
  </r>
  <r>
    <x v="0"/>
    <s v="Aliso Creek"/>
    <n v="901.13"/>
    <x v="0"/>
    <s v="Major MS4 Outfall"/>
    <s v="J01-10004-1"/>
    <x v="0"/>
    <s v="05/16/2023 09:53"/>
    <x v="1"/>
    <n v="2300"/>
    <m/>
    <s v="CFU/100 mL"/>
    <n v="400"/>
    <n v="1"/>
    <x v="0"/>
    <m/>
  </r>
  <r>
    <x v="1"/>
    <s v="Aliso Creek"/>
    <n v="901.13"/>
    <x v="0"/>
    <s v="Major MS4 Outfall"/>
    <s v="J03-9221-1"/>
    <x v="0"/>
    <s v="05/23/2023 11:14"/>
    <x v="1"/>
    <n v="450"/>
    <m/>
    <s v="CFU/100 mL"/>
    <n v="400"/>
    <n v="1"/>
    <x v="0"/>
    <m/>
  </r>
  <r>
    <x v="1"/>
    <s v="Aliso Creek"/>
    <n v="901.13"/>
    <x v="0"/>
    <s v="Major MS4 Outfall"/>
    <s v="J01-9224-1"/>
    <x v="0"/>
    <s v="05/23/2023 09:08"/>
    <x v="1"/>
    <n v="220"/>
    <m/>
    <s v="CFU/100 mL"/>
    <n v="400"/>
    <n v="0"/>
    <x v="0"/>
    <m/>
  </r>
  <r>
    <x v="1"/>
    <s v="Aliso Creek"/>
    <n v="901.13"/>
    <x v="0"/>
    <s v="Major MS4 Outfall"/>
    <s v="J01-9224-2"/>
    <x v="0"/>
    <s v="05/23/2023 09:54"/>
    <x v="1"/>
    <n v="300"/>
    <m/>
    <s v="CFU/100 mL"/>
    <n v="400"/>
    <n v="0"/>
    <x v="0"/>
    <m/>
  </r>
  <r>
    <x v="2"/>
    <s v="Aliso Creek"/>
    <n v="901.13"/>
    <x v="0"/>
    <s v="Major MS4 Outfall"/>
    <s v="J01-9992-1"/>
    <x v="0"/>
    <s v="06/21/2023 12:36"/>
    <x v="1"/>
    <n v="2300"/>
    <m/>
    <s v="CFU/100 mL"/>
    <n v="400"/>
    <n v="1"/>
    <x v="0"/>
    <m/>
  </r>
  <r>
    <x v="2"/>
    <s v="Aliso Creek"/>
    <n v="901.13"/>
    <x v="0"/>
    <s v="Major MS4 Outfall"/>
    <s v="J01-9131-1"/>
    <x v="0"/>
    <s v="06/21/2023 11:46"/>
    <x v="1"/>
    <n v="4300"/>
    <m/>
    <s v="CFU/100 mL"/>
    <n v="400"/>
    <n v="1"/>
    <x v="0"/>
    <m/>
  </r>
  <r>
    <x v="2"/>
    <s v="Aliso Creek"/>
    <n v="901.13"/>
    <x v="0"/>
    <s v="Major MS4 Outfall"/>
    <s v="J01-9007-1"/>
    <x v="0"/>
    <s v="06/21/2023 10:10"/>
    <x v="1"/>
    <n v="700"/>
    <m/>
    <s v="CFU/100 mL"/>
    <n v="400"/>
    <n v="1"/>
    <x v="0"/>
    <m/>
  </r>
  <r>
    <x v="2"/>
    <s v="Aliso Creek"/>
    <n v="901.13"/>
    <x v="1"/>
    <s v="Major MS4 Outfall"/>
    <s v="J06-9079-1"/>
    <x v="0"/>
    <s v="05/30/2023 10:59"/>
    <x v="1"/>
    <s v="&gt;2400"/>
    <s v="&gt;"/>
    <s v="MPN/100 mL"/>
    <n v="400"/>
    <n v="1"/>
    <x v="0"/>
    <m/>
  </r>
  <r>
    <x v="2"/>
    <s v="Aliso Creek"/>
    <n v="901.13"/>
    <x v="1"/>
    <s v="Major MS4 Outfall"/>
    <s v="J06-10011-1"/>
    <x v="0"/>
    <s v="05/30/2023 11:41"/>
    <x v="1"/>
    <n v="51"/>
    <m/>
    <s v="MPN/100 mL"/>
    <n v="400"/>
    <n v="0"/>
    <x v="0"/>
    <m/>
  </r>
  <r>
    <x v="2"/>
    <s v="Aliso Creek"/>
    <n v="901.13"/>
    <x v="0"/>
    <s v="Major MS4 Outfall"/>
    <s v="J01-9082-2"/>
    <x v="0"/>
    <s v="05/30/2023 09:21"/>
    <x v="1"/>
    <n v="180"/>
    <m/>
    <s v="MPN/100 mL"/>
    <n v="400"/>
    <n v="0"/>
    <x v="0"/>
    <m/>
  </r>
  <r>
    <x v="3"/>
    <s v="San Juan Creek"/>
    <n v="901.27"/>
    <x v="2"/>
    <s v="Major MS4 Outfall"/>
    <s v="L01-726-5"/>
    <x v="0"/>
    <s v="06/21/2023 11:35"/>
    <x v="1"/>
    <n v="16000"/>
    <m/>
    <s v="CFU/100 mL"/>
    <n v="400"/>
    <n v="1"/>
    <x v="0"/>
    <m/>
  </r>
  <r>
    <x v="3"/>
    <s v="San Juan Creek"/>
    <n v="901.27"/>
    <x v="2"/>
    <s v="Major MS4 Outfall"/>
    <s v="L01-728-5"/>
    <x v="0"/>
    <s v="06/21/2023 12:00"/>
    <x v="1"/>
    <n v="1150"/>
    <s v="&gt;="/>
    <s v="CFU/100 mL"/>
    <n v="400"/>
    <n v="1"/>
    <x v="0"/>
    <m/>
  </r>
  <r>
    <x v="1"/>
    <s v="Aliso Creek"/>
    <n v="901.13"/>
    <x v="0"/>
    <s v="Major MS4 Outfall"/>
    <s v="J01-9224-1"/>
    <x v="0"/>
    <s v="08/01/2023 08:56"/>
    <x v="1"/>
    <n v="68000"/>
    <m/>
    <s v="CFU/100 mL"/>
    <n v="400"/>
    <n v="1"/>
    <x v="0"/>
    <m/>
  </r>
  <r>
    <x v="0"/>
    <s v="Aliso Creek"/>
    <n v="901.13"/>
    <x v="0"/>
    <s v="Major MS4 Outfall"/>
    <s v="J01-10004-1"/>
    <x v="0"/>
    <s v="08/01/2023 08:32"/>
    <x v="1"/>
    <n v="13000"/>
    <s v="&gt;="/>
    <s v="CFU/100 mL"/>
    <n v="400"/>
    <n v="1"/>
    <x v="0"/>
    <m/>
  </r>
  <r>
    <x v="1"/>
    <s v="Aliso Creek"/>
    <n v="901.13"/>
    <x v="0"/>
    <s v="Major MS4 Outfall"/>
    <s v="J01-9224-2"/>
    <x v="0"/>
    <s v="08/01/2023 12:10"/>
    <x v="1"/>
    <n v="9"/>
    <m/>
    <s v="CFU/100 mL"/>
    <n v="400"/>
    <n v="0"/>
    <x v="0"/>
    <m/>
  </r>
  <r>
    <x v="4"/>
    <s v="Aliso Creek"/>
    <n v="901.13"/>
    <x v="0"/>
    <s v="Major MS4 Outfall"/>
    <s v="J01-9273-1"/>
    <x v="0"/>
    <s v="08/03/2023 09:43"/>
    <x v="1"/>
    <n v="9"/>
    <m/>
    <s v="CFU/100 mL"/>
    <n v="400"/>
    <n v="0"/>
    <x v="0"/>
    <m/>
  </r>
  <r>
    <x v="1"/>
    <s v="Aliso Creek"/>
    <n v="901.13"/>
    <x v="0"/>
    <s v="Major MS4 Outfall"/>
    <s v="J03-9221-1"/>
    <x v="0"/>
    <s v="08/08/2023 09:04"/>
    <x v="1"/>
    <n v="70"/>
    <m/>
    <s v="CFU/100 mL"/>
    <n v="400"/>
    <n v="0"/>
    <x v="0"/>
    <m/>
  </r>
  <r>
    <x v="2"/>
    <s v="Aliso Creek"/>
    <n v="901.13"/>
    <x v="1"/>
    <s v="Major MS4 Outfall"/>
    <s v="J06-10011-1"/>
    <x v="0"/>
    <s v="08/09/2023 08:09"/>
    <x v="1"/>
    <n v="25000"/>
    <s v="&gt;="/>
    <s v="CFU/100 mL"/>
    <n v="400"/>
    <n v="1"/>
    <x v="0"/>
    <m/>
  </r>
  <r>
    <x v="2"/>
    <s v="Aliso Creek"/>
    <n v="901.13"/>
    <x v="1"/>
    <s v="Major MS4 Outfall"/>
    <s v="J06-9079-1"/>
    <x v="0"/>
    <s v="08/09/2023 09:31"/>
    <x v="1"/>
    <n v="700"/>
    <m/>
    <s v="CFU/100 mL"/>
    <n v="400"/>
    <n v="1"/>
    <x v="0"/>
    <m/>
  </r>
  <r>
    <x v="2"/>
    <s v="Aliso Creek"/>
    <n v="901.13"/>
    <x v="0"/>
    <s v="Major MS4 Outfall"/>
    <s v="J01-9082-2"/>
    <x v="0"/>
    <s v="08/09/2023 10:59"/>
    <x v="1"/>
    <n v="1500"/>
    <s v="&gt;="/>
    <s v="CFU/100 mL"/>
    <n v="400"/>
    <n v="1"/>
    <x v="0"/>
    <m/>
  </r>
  <r>
    <x v="3"/>
    <s v="San Juan Creek"/>
    <n v="901.27"/>
    <x v="2"/>
    <s v="Major MS4 Outfall"/>
    <s v="L01-726-5"/>
    <x v="0"/>
    <s v="08/15/2023 08:24"/>
    <x v="1"/>
    <n v="200"/>
    <s v="&gt;="/>
    <s v="CFU/100 mL"/>
    <n v="400"/>
    <n v="0"/>
    <x v="0"/>
    <m/>
  </r>
  <r>
    <x v="3"/>
    <s v="San Juan Creek"/>
    <n v="901.27"/>
    <x v="2"/>
    <s v="Major MS4 Outfall"/>
    <s v="L01-728-5"/>
    <x v="0"/>
    <s v="08/15/2023 09:16"/>
    <x v="1"/>
    <n v="3300"/>
    <m/>
    <s v="CFU/100 mL"/>
    <n v="400"/>
    <n v="1"/>
    <x v="0"/>
    <m/>
  </r>
  <r>
    <x v="2"/>
    <s v="Aliso Creek"/>
    <n v="901.13"/>
    <x v="0"/>
    <s v="Major MS4 Outfall"/>
    <s v="J01-9992-1"/>
    <x v="0"/>
    <s v="09/06/2023 10:50"/>
    <x v="1"/>
    <n v="26000"/>
    <m/>
    <s v="CFU/100 mL"/>
    <n v="400"/>
    <n v="1"/>
    <x v="0"/>
    <m/>
  </r>
  <r>
    <x v="2"/>
    <s v="Aliso Creek"/>
    <n v="901.13"/>
    <x v="0"/>
    <s v="Major MS4 Outfall"/>
    <s v="J01-9007-1"/>
    <x v="0"/>
    <s v="09/06/2023 09:02"/>
    <x v="1"/>
    <n v="7000"/>
    <m/>
    <s v="CFU/100 mL"/>
    <n v="400"/>
    <n v="1"/>
    <x v="0"/>
    <m/>
  </r>
  <r>
    <x v="2"/>
    <s v="Aliso Creek"/>
    <n v="901.13"/>
    <x v="0"/>
    <s v="Major MS4 Outfall"/>
    <s v="J01-9082-2"/>
    <x v="0"/>
    <s v="09/06/2023 10:00"/>
    <x v="1"/>
    <n v="1220"/>
    <s v="&gt;="/>
    <s v="CFU/100 mL"/>
    <n v="400"/>
    <n v="1"/>
    <x v="0"/>
    <m/>
  </r>
  <r>
    <x v="2"/>
    <s v="Aliso Creek"/>
    <n v="901.13"/>
    <x v="0"/>
    <s v="Major MS4 Outfall"/>
    <s v="J01-9131-1"/>
    <x v="0"/>
    <s v="09/27/2023 10:40"/>
    <x v="1"/>
    <n v="12300"/>
    <m/>
    <s v="CFU/100 mL"/>
    <n v="400"/>
    <n v="1"/>
    <x v="0"/>
    <m/>
  </r>
  <r>
    <x v="0"/>
    <s v="Aliso Creek"/>
    <n v="901.13"/>
    <x v="0"/>
    <s v="Major MS4 Outfall"/>
    <s v="J01-9377-1"/>
    <x v="0"/>
    <s v="05/16/2023 08:10"/>
    <x v="2"/>
    <n v="99"/>
    <m/>
    <s v="CFU/100 mL"/>
    <n v="320"/>
    <n v="0"/>
    <x v="0"/>
    <m/>
  </r>
  <r>
    <x v="0"/>
    <s v="Aliso Creek"/>
    <n v="901.13"/>
    <x v="0"/>
    <s v="Major MS4 Outfall"/>
    <s v="J01-10004-1"/>
    <x v="0"/>
    <s v="05/16/2023 09:53"/>
    <x v="2"/>
    <n v="2300"/>
    <m/>
    <s v="CFU/100 mL"/>
    <n v="320"/>
    <n v="1"/>
    <x v="0"/>
    <m/>
  </r>
  <r>
    <x v="1"/>
    <s v="Aliso Creek"/>
    <n v="901.13"/>
    <x v="0"/>
    <s v="Major MS4 Outfall"/>
    <s v="J03-9221-1"/>
    <x v="0"/>
    <s v="05/23/2023 11:14"/>
    <x v="2"/>
    <n v="1020"/>
    <m/>
    <s v="CFU/100 mL"/>
    <n v="320"/>
    <n v="1"/>
    <x v="0"/>
    <m/>
  </r>
  <r>
    <x v="1"/>
    <s v="Aliso Creek"/>
    <n v="901.13"/>
    <x v="0"/>
    <s v="Major MS4 Outfall"/>
    <s v="J01-9224-1"/>
    <x v="0"/>
    <s v="05/23/2023 09:08"/>
    <x v="2"/>
    <n v="160"/>
    <m/>
    <s v="CFU/100 mL"/>
    <n v="320"/>
    <n v="0"/>
    <x v="0"/>
    <m/>
  </r>
  <r>
    <x v="1"/>
    <s v="Aliso Creek"/>
    <n v="901.13"/>
    <x v="0"/>
    <s v="Major MS4 Outfall"/>
    <s v="J01-9224-2"/>
    <x v="0"/>
    <s v="05/23/2023 09:54"/>
    <x v="2"/>
    <n v="270"/>
    <m/>
    <s v="CFU/100 mL"/>
    <n v="320"/>
    <n v="0"/>
    <x v="0"/>
    <m/>
  </r>
  <r>
    <x v="2"/>
    <s v="Aliso Creek"/>
    <n v="901.13"/>
    <x v="0"/>
    <s v="Major MS4 Outfall"/>
    <s v="J01-9992-1"/>
    <x v="0"/>
    <s v="06/21/2023 12:36"/>
    <x v="2"/>
    <n v="1190"/>
    <m/>
    <s v="CFU/100 mL"/>
    <n v="320"/>
    <n v="1"/>
    <x v="0"/>
    <m/>
  </r>
  <r>
    <x v="2"/>
    <s v="Aliso Creek"/>
    <n v="901.13"/>
    <x v="0"/>
    <s v="Major MS4 Outfall"/>
    <s v="J01-9131-1"/>
    <x v="0"/>
    <s v="06/21/2023 11:46"/>
    <x v="2"/>
    <n v="3500"/>
    <m/>
    <s v="CFU/100 mL"/>
    <n v="320"/>
    <n v="1"/>
    <x v="0"/>
    <m/>
  </r>
  <r>
    <x v="2"/>
    <s v="Aliso Creek"/>
    <n v="901.13"/>
    <x v="0"/>
    <s v="Major MS4 Outfall"/>
    <s v="J01-9007-1"/>
    <x v="0"/>
    <s v="06/21/2023 10:10"/>
    <x v="2"/>
    <n v="790"/>
    <m/>
    <s v="CFU/100 mL"/>
    <n v="320"/>
    <n v="1"/>
    <x v="0"/>
    <m/>
  </r>
  <r>
    <x v="2"/>
    <s v="Aliso Creek"/>
    <n v="901.13"/>
    <x v="1"/>
    <s v="Major MS4 Outfall"/>
    <s v="J06-9079-1"/>
    <x v="0"/>
    <s v="05/30/2023 10:59"/>
    <x v="2"/>
    <n v="1000"/>
    <m/>
    <s v="CFU/100 mL"/>
    <n v="320"/>
    <n v="1"/>
    <x v="0"/>
    <m/>
  </r>
  <r>
    <x v="2"/>
    <s v="Aliso Creek"/>
    <n v="901.13"/>
    <x v="1"/>
    <s v="Major MS4 Outfall"/>
    <s v="J06-10011-1"/>
    <x v="0"/>
    <s v="05/30/2023 11:41"/>
    <x v="2"/>
    <n v="71"/>
    <m/>
    <s v="CFU/100 mL"/>
    <n v="320"/>
    <n v="0"/>
    <x v="0"/>
    <m/>
  </r>
  <r>
    <x v="2"/>
    <s v="Aliso Creek"/>
    <n v="901.13"/>
    <x v="0"/>
    <s v="Major MS4 Outfall"/>
    <s v="J01-9082-2"/>
    <x v="0"/>
    <s v="05/30/2023 09:21"/>
    <x v="2"/>
    <n v="180"/>
    <m/>
    <s v="CFU/100 mL"/>
    <n v="320"/>
    <n v="0"/>
    <x v="0"/>
    <m/>
  </r>
  <r>
    <x v="3"/>
    <s v="San Juan Creek"/>
    <n v="901.27"/>
    <x v="2"/>
    <s v="Major MS4 Outfall"/>
    <s v="L01-726-5"/>
    <x v="0"/>
    <s v="06/21/2023 11:35"/>
    <x v="2"/>
    <n v="210"/>
    <s v="&gt;="/>
    <s v="CFU/100 mL"/>
    <n v="320"/>
    <n v="0"/>
    <x v="0"/>
    <m/>
  </r>
  <r>
    <x v="3"/>
    <s v="San Juan Creek"/>
    <n v="901.27"/>
    <x v="2"/>
    <s v="Major MS4 Outfall"/>
    <s v="L01-728-5"/>
    <x v="0"/>
    <s v="06/21/2023 12:00"/>
    <x v="2"/>
    <n v="1370"/>
    <s v="&gt;="/>
    <s v="CFU/100 mL"/>
    <n v="320"/>
    <n v="1"/>
    <x v="0"/>
    <m/>
  </r>
  <r>
    <x v="1"/>
    <s v="Aliso Creek"/>
    <n v="901.13"/>
    <x v="0"/>
    <s v="Major MS4 Outfall"/>
    <s v="J01-9224-1"/>
    <x v="0"/>
    <s v="08/01/2023 08:56"/>
    <x v="2"/>
    <n v="26000"/>
    <m/>
    <s v="CFU/100 mL"/>
    <n v="320"/>
    <n v="1"/>
    <x v="0"/>
    <m/>
  </r>
  <r>
    <x v="0"/>
    <s v="Aliso Creek"/>
    <n v="901.13"/>
    <x v="0"/>
    <s v="Major MS4 Outfall"/>
    <s v="J01-10004-1"/>
    <x v="0"/>
    <s v="08/01/2023 08:32"/>
    <x v="2"/>
    <n v="13900"/>
    <s v="&gt;="/>
    <s v="CFU/100 mL"/>
    <n v="320"/>
    <n v="1"/>
    <x v="0"/>
    <m/>
  </r>
  <r>
    <x v="1"/>
    <s v="Aliso Creek"/>
    <n v="901.13"/>
    <x v="0"/>
    <s v="Major MS4 Outfall"/>
    <s v="J01-9224-2"/>
    <x v="0"/>
    <s v="08/01/2023 12:10"/>
    <x v="2"/>
    <n v="9"/>
    <s v="&lt;"/>
    <s v="CFU/100 mL"/>
    <n v="320"/>
    <n v="0"/>
    <x v="0"/>
    <m/>
  </r>
  <r>
    <x v="4"/>
    <s v="Aliso Creek"/>
    <n v="901.13"/>
    <x v="0"/>
    <s v="Major MS4 Outfall"/>
    <s v="J01-9273-1"/>
    <x v="0"/>
    <s v="08/03/2023 09:43"/>
    <x v="2"/>
    <n v="20"/>
    <m/>
    <s v="CFU/100 mL"/>
    <n v="320"/>
    <n v="0"/>
    <x v="0"/>
    <m/>
  </r>
  <r>
    <x v="1"/>
    <s v="Aliso Creek"/>
    <n v="901.13"/>
    <x v="0"/>
    <s v="Major MS4 Outfall"/>
    <s v="J03-9221-1"/>
    <x v="0"/>
    <s v="08/08/2023 09:04"/>
    <x v="2"/>
    <n v="90"/>
    <m/>
    <s v="CFU/100 mL"/>
    <n v="320"/>
    <n v="0"/>
    <x v="0"/>
    <m/>
  </r>
  <r>
    <x v="2"/>
    <s v="Aliso Creek"/>
    <n v="901.13"/>
    <x v="1"/>
    <s v="Major MS4 Outfall"/>
    <s v="J06-10011-1"/>
    <x v="0"/>
    <s v="08/09/2023 08:09"/>
    <x v="2"/>
    <n v="710"/>
    <s v="&gt;="/>
    <s v="MPN/100 mL"/>
    <n v="320"/>
    <n v="1"/>
    <x v="0"/>
    <m/>
  </r>
  <r>
    <x v="2"/>
    <s v="Aliso Creek"/>
    <n v="901.13"/>
    <x v="1"/>
    <s v="Major MS4 Outfall"/>
    <s v="J06-9079-1"/>
    <x v="0"/>
    <s v="08/09/2023 09:31"/>
    <x v="2"/>
    <n v="820"/>
    <s v="&gt;="/>
    <s v="MPN/100 mL"/>
    <n v="320"/>
    <n v="1"/>
    <x v="0"/>
    <m/>
  </r>
  <r>
    <x v="2"/>
    <s v="Aliso Creek"/>
    <n v="901.13"/>
    <x v="0"/>
    <s v="Major MS4 Outfall"/>
    <s v="J01-9082-2"/>
    <x v="0"/>
    <s v="08/09/2023 10:59"/>
    <x v="2"/>
    <n v="1000"/>
    <m/>
    <s v="MPN/100 mL"/>
    <n v="320"/>
    <n v="1"/>
    <x v="0"/>
    <m/>
  </r>
  <r>
    <x v="3"/>
    <s v="San Juan Creek"/>
    <n v="901.27"/>
    <x v="2"/>
    <s v="Major MS4 Outfall"/>
    <s v="L01-726-5"/>
    <x v="0"/>
    <s v="08/15/2023 08:24"/>
    <x v="2"/>
    <n v="80"/>
    <m/>
    <s v="CFU/100 mL"/>
    <n v="320"/>
    <n v="0"/>
    <x v="0"/>
    <m/>
  </r>
  <r>
    <x v="3"/>
    <s v="San Juan Creek"/>
    <n v="901.27"/>
    <x v="2"/>
    <s v="Major MS4 Outfall"/>
    <s v="L01-728-5"/>
    <x v="0"/>
    <s v="08/15/2023 09:16"/>
    <x v="2"/>
    <n v="1440"/>
    <s v="&gt;="/>
    <s v="CFU/100 mL"/>
    <n v="320"/>
    <n v="1"/>
    <x v="0"/>
    <m/>
  </r>
  <r>
    <x v="2"/>
    <s v="Aliso Creek"/>
    <n v="901.13"/>
    <x v="0"/>
    <s v="Major MS4 Outfall"/>
    <s v="J01-9992-1"/>
    <x v="0"/>
    <s v="09/06/2023 10:50"/>
    <x v="2"/>
    <n v="8800"/>
    <m/>
    <s v="CFU/100 mL"/>
    <n v="320"/>
    <n v="1"/>
    <x v="0"/>
    <m/>
  </r>
  <r>
    <x v="2"/>
    <s v="Aliso Creek"/>
    <n v="901.13"/>
    <x v="0"/>
    <s v="Major MS4 Outfall"/>
    <s v="J01-9007-1"/>
    <x v="0"/>
    <s v="09/06/2023 09:02"/>
    <x v="2"/>
    <n v="4900"/>
    <m/>
    <s v="CFU/100 mL"/>
    <n v="320"/>
    <n v="1"/>
    <x v="0"/>
    <m/>
  </r>
  <r>
    <x v="2"/>
    <s v="Aliso Creek"/>
    <n v="901.13"/>
    <x v="0"/>
    <s v="Major MS4 Outfall"/>
    <s v="J01-9082-2"/>
    <x v="0"/>
    <s v="09/06/2023 10:00"/>
    <x v="2"/>
    <n v="700"/>
    <m/>
    <s v="CFU/100 mL"/>
    <n v="320"/>
    <n v="1"/>
    <x v="0"/>
    <m/>
  </r>
  <r>
    <x v="2"/>
    <s v="Aliso Creek"/>
    <n v="901.13"/>
    <x v="0"/>
    <s v="Major MS4 Outfall"/>
    <s v="J01-9131-1"/>
    <x v="0"/>
    <s v="09/27/2023 10:40"/>
    <x v="2"/>
    <n v="11200"/>
    <m/>
    <s v="CFU/100 mL"/>
    <n v="320"/>
    <n v="1"/>
    <x v="0"/>
    <m/>
  </r>
  <r>
    <x v="1"/>
    <s v="Aliso Creek"/>
    <n v="901.13"/>
    <x v="0"/>
    <s v="Major MS4 Outfall"/>
    <s v="J03-9221-1"/>
    <x v="1"/>
    <s v="6/15/2022 11:34"/>
    <x v="0"/>
    <n v="3300"/>
    <m/>
    <s v="CFU/100 mL"/>
    <n v="110"/>
    <n v="1"/>
    <x v="0"/>
    <m/>
  </r>
  <r>
    <x v="1"/>
    <s v="Aliso Creek"/>
    <n v="901.13"/>
    <x v="0"/>
    <s v="Major MS4 Outfall"/>
    <s v="J01-9224-1"/>
    <x v="1"/>
    <s v="6/15/2022 12:12"/>
    <x v="0"/>
    <n v="41000"/>
    <m/>
    <s v="CFU/100 mL"/>
    <n v="110"/>
    <n v="1"/>
    <x v="0"/>
    <m/>
  </r>
  <r>
    <x v="1"/>
    <s v="Aliso Creek"/>
    <n v="901.13"/>
    <x v="0"/>
    <s v="Major MS4 Outfall"/>
    <s v="J01-9224-2"/>
    <x v="1"/>
    <s v="6/15/2022 12:30"/>
    <x v="0"/>
    <n v="9"/>
    <m/>
    <s v="CFU/100 mL"/>
    <n v="110"/>
    <n v="0"/>
    <x v="0"/>
    <m/>
  </r>
  <r>
    <x v="2"/>
    <s v="Aliso Creek"/>
    <n v="901.13"/>
    <x v="0"/>
    <s v="Major MS4 Outfall"/>
    <s v="J01-9992-1"/>
    <x v="1"/>
    <s v="6/23/2022 9:58"/>
    <x v="0"/>
    <n v="34000"/>
    <m/>
    <s v="CFU/100 mL"/>
    <n v="110"/>
    <n v="1"/>
    <x v="0"/>
    <m/>
  </r>
  <r>
    <x v="2"/>
    <s v="Aliso Creek"/>
    <n v="901.13"/>
    <x v="0"/>
    <s v="Major MS4 Outfall"/>
    <s v="J01-9131-1"/>
    <x v="1"/>
    <s v="6/23/2022 9:17"/>
    <x v="0"/>
    <n v="240000"/>
    <m/>
    <s v="CFU/100 mL"/>
    <n v="110"/>
    <n v="1"/>
    <x v="0"/>
    <m/>
  </r>
  <r>
    <x v="2"/>
    <s v="Aliso Creek"/>
    <n v="901.13"/>
    <x v="0"/>
    <s v="Major MS4 Outfall"/>
    <s v="J01-9007-1"/>
    <x v="1"/>
    <s v="6/23/2022 11:26"/>
    <x v="0"/>
    <n v="80"/>
    <m/>
    <s v="CFU/100 mL"/>
    <n v="110"/>
    <n v="0"/>
    <x v="0"/>
    <m/>
  </r>
  <r>
    <x v="2"/>
    <s v="Aliso Creek"/>
    <n v="901.13"/>
    <x v="0"/>
    <s v="Major MS4 Outfall"/>
    <s v="J01-9082-2"/>
    <x v="1"/>
    <s v="6/23/2022 10:19"/>
    <x v="0"/>
    <n v="2300"/>
    <m/>
    <s v="CFU/100 mL"/>
    <n v="110"/>
    <n v="1"/>
    <x v="0"/>
    <m/>
  </r>
  <r>
    <x v="0"/>
    <s v="Aliso Creek"/>
    <n v="901.13"/>
    <x v="0"/>
    <s v="Major MS4 Outfall"/>
    <s v="J01-10004-1"/>
    <x v="1"/>
    <s v="6/21/2022 10:40"/>
    <x v="0"/>
    <n v="3400"/>
    <m/>
    <s v="CFU/100 mL"/>
    <n v="110"/>
    <n v="1"/>
    <x v="0"/>
    <m/>
  </r>
  <r>
    <x v="3"/>
    <s v="San Juan Creek"/>
    <n v="901.27"/>
    <x v="2"/>
    <s v="Major MS4 Outfall"/>
    <s v="L01-728-5"/>
    <x v="1"/>
    <s v="6/22/2022 12:29"/>
    <x v="0"/>
    <n v="890"/>
    <m/>
    <s v="CFU/100 mL"/>
    <n v="110"/>
    <n v="1"/>
    <x v="0"/>
    <m/>
  </r>
  <r>
    <x v="0"/>
    <s v="Aliso Creek"/>
    <n v="901.13"/>
    <x v="0"/>
    <s v="Major MS4 Outfall"/>
    <s v="J01-10004-1"/>
    <x v="1"/>
    <s v="8/18/2022 10:35"/>
    <x v="0"/>
    <n v="6700"/>
    <m/>
    <s v="CFU/100 mL"/>
    <n v="110"/>
    <n v="1"/>
    <x v="0"/>
    <m/>
  </r>
  <r>
    <x v="1"/>
    <s v="Aliso Creek"/>
    <n v="901.13"/>
    <x v="0"/>
    <s v="Major MS4 Outfall"/>
    <s v="J03-9221-1"/>
    <x v="1"/>
    <s v="8/18/2022 10:57"/>
    <x v="0"/>
    <n v="1100"/>
    <m/>
    <s v="CFU/100 mL"/>
    <n v="110"/>
    <n v="1"/>
    <x v="0"/>
    <m/>
  </r>
  <r>
    <x v="1"/>
    <s v="Aliso Creek"/>
    <n v="901.13"/>
    <x v="0"/>
    <s v="Major MS4 Outfall"/>
    <s v="J01-9224-1"/>
    <x v="1"/>
    <s v="8/18/2022 9:03"/>
    <x v="0"/>
    <n v="1230"/>
    <m/>
    <s v="CFU/100 mL"/>
    <n v="110"/>
    <n v="1"/>
    <x v="0"/>
    <m/>
  </r>
  <r>
    <x v="1"/>
    <s v="Aliso Creek"/>
    <n v="901.13"/>
    <x v="0"/>
    <s v="Major MS4 Outfall"/>
    <s v="J01-9224-2"/>
    <x v="1"/>
    <s v="8/18/2022 9:54"/>
    <x v="0"/>
    <n v="20"/>
    <m/>
    <s v="CFU/100 mL"/>
    <n v="110"/>
    <n v="0"/>
    <x v="0"/>
    <m/>
  </r>
  <r>
    <x v="2"/>
    <s v="Aliso Creek"/>
    <n v="901.13"/>
    <x v="0"/>
    <s v="Major MS4 Outfall"/>
    <s v="J01-9082-2"/>
    <x v="1"/>
    <s v="8/22/2022 8:53"/>
    <x v="0"/>
    <n v="1900"/>
    <m/>
    <s v="CFU/100 mL"/>
    <n v="110"/>
    <n v="1"/>
    <x v="0"/>
    <m/>
  </r>
  <r>
    <x v="3"/>
    <s v="San Juan Creek"/>
    <n v="901.27"/>
    <x v="2"/>
    <s v="Major MS4 Outfall"/>
    <s v="L01-726-5"/>
    <x v="1"/>
    <s v="9/7/2022 9:23"/>
    <x v="0"/>
    <n v="4400"/>
    <m/>
    <s v="CFU/100 mL"/>
    <n v="110"/>
    <n v="1"/>
    <x v="0"/>
    <m/>
  </r>
  <r>
    <x v="3"/>
    <s v="San Juan Creek"/>
    <n v="901.27"/>
    <x v="2"/>
    <s v="Major MS4 Outfall"/>
    <s v="L01-728-5"/>
    <x v="1"/>
    <s v="9/7/2022 8:50"/>
    <x v="0"/>
    <n v="3400"/>
    <m/>
    <s v="CFU/100 mL"/>
    <n v="110"/>
    <n v="1"/>
    <x v="0"/>
    <m/>
  </r>
  <r>
    <x v="2"/>
    <s v="Aliso Creek"/>
    <n v="901.13"/>
    <x v="0"/>
    <s v="Major MS4 Outfall"/>
    <s v="J01-9131-1"/>
    <x v="1"/>
    <s v="9/8/2022 9:41"/>
    <x v="0"/>
    <n v="32000"/>
    <m/>
    <s v="CFU/100 mL"/>
    <n v="110"/>
    <n v="1"/>
    <x v="0"/>
    <m/>
  </r>
  <r>
    <x v="2"/>
    <s v="Aliso Creek"/>
    <n v="901.13"/>
    <x v="0"/>
    <s v="Major MS4 Outfall"/>
    <s v="J01-9992-1"/>
    <x v="1"/>
    <s v="8/9/2022 11:20"/>
    <x v="0"/>
    <n v="31000"/>
    <m/>
    <s v="CFU/100 mL"/>
    <n v="110"/>
    <n v="1"/>
    <x v="0"/>
    <m/>
  </r>
  <r>
    <x v="2"/>
    <s v="Aliso Creek"/>
    <n v="901.13"/>
    <x v="0"/>
    <s v="Major MS4 Outfall"/>
    <s v="J01-9007-1"/>
    <x v="1"/>
    <s v="9/8/2022 11:59"/>
    <x v="0"/>
    <n v="1400"/>
    <m/>
    <s v="CFU/100 mL"/>
    <n v="110"/>
    <n v="1"/>
    <x v="0"/>
    <m/>
  </r>
  <r>
    <x v="1"/>
    <s v="Aliso Creek"/>
    <n v="901.13"/>
    <x v="0"/>
    <s v="Major MS4 Outfall"/>
    <s v="J03-9221-1"/>
    <x v="1"/>
    <s v="6/15/2022 11:34"/>
    <x v="1"/>
    <n v="760"/>
    <s v="&gt;="/>
    <s v="CFU/100 mL"/>
    <n v="400"/>
    <n v="1"/>
    <x v="0"/>
    <m/>
  </r>
  <r>
    <x v="1"/>
    <s v="Aliso Creek"/>
    <n v="901.13"/>
    <x v="0"/>
    <s v="Major MS4 Outfall"/>
    <s v="J01-9224-1"/>
    <x v="1"/>
    <s v="6/15/2022 12:12"/>
    <x v="1"/>
    <n v="7000"/>
    <m/>
    <s v="CFU/100 mL"/>
    <n v="400"/>
    <n v="1"/>
    <x v="0"/>
    <m/>
  </r>
  <r>
    <x v="1"/>
    <s v="Aliso Creek"/>
    <n v="901.13"/>
    <x v="0"/>
    <s v="Major MS4 Outfall"/>
    <s v="J01-9224-2"/>
    <x v="1"/>
    <s v="6/15/2022 12:30"/>
    <x v="1"/>
    <n v="9"/>
    <s v="&lt;"/>
    <s v="CFU/100 mL"/>
    <n v="400"/>
    <n v="0"/>
    <x v="0"/>
    <m/>
  </r>
  <r>
    <x v="2"/>
    <s v="Aliso Creek"/>
    <n v="901.13"/>
    <x v="0"/>
    <s v="Major MS4 Outfall"/>
    <s v="J01-9992-1"/>
    <x v="1"/>
    <s v="6/23/2022 9:58"/>
    <x v="1"/>
    <n v="21000"/>
    <m/>
    <s v="CFU/100 mL"/>
    <n v="400"/>
    <n v="1"/>
    <x v="0"/>
    <m/>
  </r>
  <r>
    <x v="2"/>
    <s v="Aliso Creek"/>
    <n v="901.13"/>
    <x v="0"/>
    <s v="Major MS4 Outfall"/>
    <s v="J01-9131-1"/>
    <x v="1"/>
    <s v="6/23/2022 9:17"/>
    <x v="1"/>
    <n v="4000"/>
    <s v="&gt;="/>
    <s v="CFU/100 mL"/>
    <n v="400"/>
    <n v="1"/>
    <x v="0"/>
    <m/>
  </r>
  <r>
    <x v="2"/>
    <s v="Aliso Creek"/>
    <n v="901.13"/>
    <x v="0"/>
    <s v="Major MS4 Outfall"/>
    <s v="J01-9007-1"/>
    <x v="1"/>
    <s v="6/23/2022 11:26"/>
    <x v="1"/>
    <n v="9"/>
    <s v="&lt;"/>
    <s v="CFU/100 mL"/>
    <n v="400"/>
    <n v="0"/>
    <x v="0"/>
    <m/>
  </r>
  <r>
    <x v="2"/>
    <s v="Aliso Creek"/>
    <n v="901.13"/>
    <x v="0"/>
    <s v="Major MS4 Outfall"/>
    <s v="J01-9082-2"/>
    <x v="1"/>
    <s v="6/23/2022 10:19"/>
    <x v="1"/>
    <n v="130"/>
    <m/>
    <s v="CFU/100 mL"/>
    <n v="400"/>
    <n v="0"/>
    <x v="0"/>
    <m/>
  </r>
  <r>
    <x v="0"/>
    <s v="Aliso Creek"/>
    <n v="901.13"/>
    <x v="0"/>
    <s v="Major MS4 Outfall"/>
    <s v="J01-10004-1"/>
    <x v="1"/>
    <s v="6/21/2022 10:40"/>
    <x v="1"/>
    <n v="800"/>
    <s v="&gt;="/>
    <s v="CFU/100 mL"/>
    <n v="400"/>
    <n v="1"/>
    <x v="0"/>
    <m/>
  </r>
  <r>
    <x v="3"/>
    <s v="San Juan Creek"/>
    <n v="901.27"/>
    <x v="2"/>
    <s v="Major MS4 Outfall"/>
    <s v="L01-728-5"/>
    <x v="1"/>
    <s v="6/22/2022 12:29"/>
    <x v="1"/>
    <n v="14900"/>
    <s v="&gt;="/>
    <s v="CFU/100 mL"/>
    <n v="400"/>
    <n v="1"/>
    <x v="0"/>
    <m/>
  </r>
  <r>
    <x v="0"/>
    <s v="Aliso Creek"/>
    <n v="901.13"/>
    <x v="0"/>
    <s v="Major MS4 Outfall"/>
    <s v="J01-10004-1"/>
    <x v="1"/>
    <s v="8/18/2022 10:35"/>
    <x v="1"/>
    <n v="1100"/>
    <s v="&gt;="/>
    <s v="CFU/100 mL"/>
    <n v="400"/>
    <n v="1"/>
    <x v="0"/>
    <m/>
  </r>
  <r>
    <x v="1"/>
    <s v="Aliso Creek"/>
    <n v="901.13"/>
    <x v="0"/>
    <s v="Major MS4 Outfall"/>
    <s v="J03-9221-1"/>
    <x v="1"/>
    <s v="8/18/2022 10:57"/>
    <x v="1"/>
    <n v="220"/>
    <s v="&gt;="/>
    <s v="CFU/100 mL"/>
    <n v="400"/>
    <n v="0"/>
    <x v="0"/>
    <m/>
  </r>
  <r>
    <x v="1"/>
    <s v="Aliso Creek"/>
    <n v="901.13"/>
    <x v="0"/>
    <s v="Major MS4 Outfall"/>
    <s v="J01-9224-1"/>
    <x v="1"/>
    <s v="8/18/2022 9:03"/>
    <x v="1"/>
    <n v="90"/>
    <s v="&gt;="/>
    <s v="CFU/100 mL"/>
    <n v="400"/>
    <n v="0"/>
    <x v="0"/>
    <m/>
  </r>
  <r>
    <x v="1"/>
    <s v="Aliso Creek"/>
    <n v="901.13"/>
    <x v="0"/>
    <s v="Major MS4 Outfall"/>
    <s v="J01-9224-2"/>
    <x v="1"/>
    <s v="8/18/2022 9:54"/>
    <x v="1"/>
    <n v="30"/>
    <m/>
    <s v="CFU/100 mL"/>
    <n v="400"/>
    <n v="0"/>
    <x v="0"/>
    <m/>
  </r>
  <r>
    <x v="2"/>
    <s v="Aliso Creek"/>
    <n v="901.13"/>
    <x v="0"/>
    <s v="Major MS4 Outfall"/>
    <s v="J01-9082-2"/>
    <x v="1"/>
    <s v="8/22/2022 8:53"/>
    <x v="1"/>
    <n v="2600"/>
    <m/>
    <s v="CFU/100 mL"/>
    <n v="400"/>
    <n v="1"/>
    <x v="0"/>
    <m/>
  </r>
  <r>
    <x v="3"/>
    <s v="San Juan Creek"/>
    <n v="901.27"/>
    <x v="2"/>
    <s v="Major MS4 Outfall"/>
    <s v="L01-726-5"/>
    <x v="1"/>
    <s v="9/7/2022 9:23"/>
    <x v="1"/>
    <n v="600"/>
    <s v="&gt;="/>
    <s v="CFU/100 mL"/>
    <n v="400"/>
    <n v="1"/>
    <x v="0"/>
    <m/>
  </r>
  <r>
    <x v="3"/>
    <s v="San Juan Creek"/>
    <n v="901.27"/>
    <x v="2"/>
    <s v="Major MS4 Outfall"/>
    <s v="L01-728-5"/>
    <x v="1"/>
    <s v="9/7/2022 8:50"/>
    <x v="1"/>
    <n v="5000"/>
    <s v="&gt;="/>
    <s v="CFU/100 mL"/>
    <n v="400"/>
    <n v="1"/>
    <x v="0"/>
    <m/>
  </r>
  <r>
    <x v="2"/>
    <s v="Aliso Creek"/>
    <n v="901.13"/>
    <x v="0"/>
    <s v="Major MS4 Outfall"/>
    <s v="J01-9131-1"/>
    <x v="1"/>
    <s v="9/8/2022 9:41"/>
    <x v="1"/>
    <n v="30000"/>
    <m/>
    <s v="CFU/100 mL"/>
    <n v="400"/>
    <n v="1"/>
    <x v="0"/>
    <m/>
  </r>
  <r>
    <x v="2"/>
    <s v="Aliso Creek"/>
    <n v="901.13"/>
    <x v="0"/>
    <s v="Major MS4 Outfall"/>
    <s v="J01-9992-1"/>
    <x v="1"/>
    <s v="8/9/2022 11:20"/>
    <x v="1"/>
    <n v="46000"/>
    <m/>
    <s v="CFU/100 mL"/>
    <n v="400"/>
    <n v="1"/>
    <x v="0"/>
    <m/>
  </r>
  <r>
    <x v="2"/>
    <s v="Aliso Creek"/>
    <n v="901.13"/>
    <x v="0"/>
    <s v="Major MS4 Outfall"/>
    <s v="J01-9007-1"/>
    <x v="1"/>
    <s v="9/8/2022 11:59"/>
    <x v="1"/>
    <n v="1600"/>
    <m/>
    <s v="CFU/100 mL"/>
    <n v="400"/>
    <n v="1"/>
    <x v="0"/>
    <m/>
  </r>
  <r>
    <x v="1"/>
    <s v="Aliso Creek"/>
    <n v="901.13"/>
    <x v="0"/>
    <s v="Major MS4 Outfall"/>
    <s v="J03-9221-1"/>
    <x v="1"/>
    <s v="6/15/2022 11:34"/>
    <x v="2"/>
    <n v="60"/>
    <s v="&gt;="/>
    <s v="CFU/100 mL"/>
    <n v="320"/>
    <n v="0"/>
    <x v="0"/>
    <m/>
  </r>
  <r>
    <x v="1"/>
    <s v="Aliso Creek"/>
    <n v="901.13"/>
    <x v="0"/>
    <s v="Major MS4 Outfall"/>
    <s v="J01-9224-1"/>
    <x v="1"/>
    <s v="6/15/2022 12:12"/>
    <x v="2"/>
    <n v="2900"/>
    <m/>
    <s v="CFU/100 mL"/>
    <n v="320"/>
    <n v="1"/>
    <x v="0"/>
    <m/>
  </r>
  <r>
    <x v="1"/>
    <s v="Aliso Creek"/>
    <n v="901.13"/>
    <x v="0"/>
    <s v="Major MS4 Outfall"/>
    <s v="J01-9224-2"/>
    <x v="1"/>
    <s v="6/15/2022 12:30"/>
    <x v="2"/>
    <n v="9"/>
    <s v="&lt;"/>
    <s v="CFU/100 mL"/>
    <n v="320"/>
    <n v="0"/>
    <x v="0"/>
    <m/>
  </r>
  <r>
    <x v="2"/>
    <s v="Aliso Creek"/>
    <n v="901.13"/>
    <x v="0"/>
    <s v="Major MS4 Outfall"/>
    <s v="J01-9992-1"/>
    <x v="1"/>
    <s v="6/23/2022 9:58"/>
    <x v="2"/>
    <n v="10700"/>
    <m/>
    <s v="CFU/100 mL"/>
    <n v="320"/>
    <n v="1"/>
    <x v="0"/>
    <m/>
  </r>
  <r>
    <x v="2"/>
    <s v="Aliso Creek"/>
    <n v="901.13"/>
    <x v="0"/>
    <s v="Major MS4 Outfall"/>
    <s v="J01-9131-1"/>
    <x v="1"/>
    <s v="6/23/2022 9:17"/>
    <x v="2"/>
    <n v="48000"/>
    <m/>
    <s v="CFU/100 mL"/>
    <n v="320"/>
    <n v="1"/>
    <x v="0"/>
    <m/>
  </r>
  <r>
    <x v="2"/>
    <s v="Aliso Creek"/>
    <n v="901.13"/>
    <x v="0"/>
    <s v="Major MS4 Outfall"/>
    <s v="J01-9007-1"/>
    <x v="1"/>
    <s v="6/23/2022 11:26"/>
    <x v="2"/>
    <n v="9"/>
    <s v="&lt;"/>
    <s v="CFU/100 mL"/>
    <n v="320"/>
    <n v="0"/>
    <x v="0"/>
    <m/>
  </r>
  <r>
    <x v="2"/>
    <s v="Aliso Creek"/>
    <n v="901.13"/>
    <x v="0"/>
    <s v="Major MS4 Outfall"/>
    <s v="J01-9082-2"/>
    <x v="1"/>
    <s v="6/23/2022 10:19"/>
    <x v="2"/>
    <n v="120"/>
    <m/>
    <s v="CFU/100 mL"/>
    <n v="320"/>
    <n v="0"/>
    <x v="0"/>
    <m/>
  </r>
  <r>
    <x v="0"/>
    <s v="Aliso Creek"/>
    <n v="901.13"/>
    <x v="0"/>
    <s v="Major MS4 Outfall"/>
    <s v="J01-10004-1"/>
    <x v="1"/>
    <s v="6/21/2022 10:40"/>
    <x v="2"/>
    <n v="360"/>
    <s v="&gt;="/>
    <s v="CFU/100 mL"/>
    <n v="320"/>
    <n v="1"/>
    <x v="0"/>
    <m/>
  </r>
  <r>
    <x v="3"/>
    <s v="San Juan Creek"/>
    <n v="901.27"/>
    <x v="2"/>
    <s v="Major MS4 Outfall"/>
    <s v="L01-728-5"/>
    <x v="1"/>
    <s v="6/22/2022 12:29"/>
    <x v="2"/>
    <n v="780"/>
    <s v="&gt;="/>
    <s v="CFU/100 mL"/>
    <n v="320"/>
    <n v="1"/>
    <x v="0"/>
    <m/>
  </r>
  <r>
    <x v="0"/>
    <s v="Aliso Creek"/>
    <n v="901.13"/>
    <x v="0"/>
    <s v="Major MS4 Outfall"/>
    <s v="J01-10004-1"/>
    <x v="1"/>
    <s v="8/18/2022 10:35"/>
    <x v="2"/>
    <n v="950"/>
    <s v="&gt;="/>
    <s v="CFU/100 mL"/>
    <n v="320"/>
    <n v="1"/>
    <x v="0"/>
    <m/>
  </r>
  <r>
    <x v="1"/>
    <s v="Aliso Creek"/>
    <n v="901.13"/>
    <x v="0"/>
    <s v="Major MS4 Outfall"/>
    <s v="J03-9221-1"/>
    <x v="1"/>
    <s v="8/18/2022 10:57"/>
    <x v="2"/>
    <n v="250"/>
    <s v="&gt;="/>
    <s v="CFU/100 mL"/>
    <n v="320"/>
    <n v="0"/>
    <x v="0"/>
    <m/>
  </r>
  <r>
    <x v="1"/>
    <s v="Aliso Creek"/>
    <n v="901.13"/>
    <x v="0"/>
    <s v="Major MS4 Outfall"/>
    <s v="J01-9224-1"/>
    <x v="1"/>
    <s v="8/18/2022 9:03"/>
    <x v="2"/>
    <n v="270"/>
    <m/>
    <s v="CFU/100 mL"/>
    <n v="320"/>
    <n v="0"/>
    <x v="0"/>
    <m/>
  </r>
  <r>
    <x v="1"/>
    <s v="Aliso Creek"/>
    <n v="901.13"/>
    <x v="0"/>
    <s v="Major MS4 Outfall"/>
    <s v="J01-9224-2"/>
    <x v="1"/>
    <s v="8/18/2022 9:54"/>
    <x v="2"/>
    <n v="9"/>
    <s v="&lt;"/>
    <s v="CFU/100 mL"/>
    <n v="320"/>
    <n v="0"/>
    <x v="0"/>
    <m/>
  </r>
  <r>
    <x v="2"/>
    <s v="Aliso Creek"/>
    <n v="901.13"/>
    <x v="0"/>
    <s v="Major MS4 Outfall"/>
    <s v="J01-9082-2"/>
    <x v="1"/>
    <s v="8/22/2022 8:53"/>
    <x v="2"/>
    <n v="540"/>
    <m/>
    <s v="CFU/100 mL"/>
    <n v="320"/>
    <n v="1"/>
    <x v="0"/>
    <m/>
  </r>
  <r>
    <x v="3"/>
    <s v="San Juan Creek"/>
    <n v="901.27"/>
    <x v="2"/>
    <s v="Major MS4 Outfall"/>
    <s v="L01-726-5"/>
    <x v="1"/>
    <s v="9/7/2022 9:23"/>
    <x v="2"/>
    <n v="540"/>
    <s v="&gt;="/>
    <s v="CFU/100 mL"/>
    <n v="320"/>
    <n v="1"/>
    <x v="0"/>
    <m/>
  </r>
  <r>
    <x v="3"/>
    <s v="San Juan Creek"/>
    <n v="901.27"/>
    <x v="2"/>
    <s v="Major MS4 Outfall"/>
    <s v="L01-728-5"/>
    <x v="1"/>
    <s v="9/7/2022 8:50"/>
    <x v="2"/>
    <n v="2800"/>
    <m/>
    <s v="CFU/100 mL"/>
    <n v="320"/>
    <n v="1"/>
    <x v="0"/>
    <m/>
  </r>
  <r>
    <x v="2"/>
    <s v="Aliso Creek"/>
    <n v="901.13"/>
    <x v="0"/>
    <s v="Major MS4 Outfall"/>
    <s v="J01-9131-1"/>
    <x v="1"/>
    <s v="9/8/2022 9:41"/>
    <x v="2"/>
    <n v="8800"/>
    <m/>
    <s v="CFU/100 mL"/>
    <n v="320"/>
    <n v="1"/>
    <x v="0"/>
    <m/>
  </r>
  <r>
    <x v="2"/>
    <s v="Aliso Creek"/>
    <n v="901.13"/>
    <x v="0"/>
    <s v="Major MS4 Outfall"/>
    <s v="J01-9992-1"/>
    <x v="1"/>
    <s v="8/9/2022 11:20"/>
    <x v="2"/>
    <n v="9200"/>
    <m/>
    <s v="CFU/100 mL"/>
    <n v="320"/>
    <n v="1"/>
    <x v="0"/>
    <m/>
  </r>
  <r>
    <x v="2"/>
    <s v="Aliso Creek"/>
    <n v="901.13"/>
    <x v="0"/>
    <s v="Major MS4 Outfall"/>
    <s v="J01-9007-1"/>
    <x v="1"/>
    <s v="9/8/2022 11:59"/>
    <x v="2"/>
    <n v="140"/>
    <m/>
    <s v="CFU/100 mL"/>
    <n v="320"/>
    <n v="0"/>
    <x v="0"/>
    <m/>
  </r>
  <r>
    <x v="2"/>
    <s v="Aliso Creek"/>
    <n v="901.13"/>
    <x v="0"/>
    <s v="Major MS4 Outfall"/>
    <s v="J01-9131-1"/>
    <x v="2"/>
    <d v="2021-05-26T07:34:00"/>
    <x v="0"/>
    <n v="5000"/>
    <m/>
    <s v="CFU/100 mL"/>
    <n v="110"/>
    <n v="1"/>
    <x v="0"/>
    <m/>
  </r>
  <r>
    <x v="2"/>
    <s v="Aliso Creek"/>
    <n v="901.13"/>
    <x v="0"/>
    <s v="Major MS4 Outfall"/>
    <s v="J01-9992-1"/>
    <x v="2"/>
    <d v="2021-05-26T08:07:00"/>
    <x v="0"/>
    <n v="10900"/>
    <m/>
    <s v="CFU/100 mL"/>
    <n v="110"/>
    <n v="1"/>
    <x v="0"/>
    <m/>
  </r>
  <r>
    <x v="2"/>
    <s v="Aliso Creek"/>
    <n v="901.13"/>
    <x v="0"/>
    <s v="Major MS4 Outfall"/>
    <s v="J01-9007-1"/>
    <x v="2"/>
    <d v="2021-05-26T09:04:00"/>
    <x v="0"/>
    <s v="&gt;=250"/>
    <s v="&gt;="/>
    <s v="CFU/100 mL"/>
    <n v="110"/>
    <n v="1"/>
    <x v="0"/>
    <m/>
  </r>
  <r>
    <x v="2"/>
    <s v="Aliso Creek"/>
    <n v="901.13"/>
    <x v="0"/>
    <s v="Major MS4 Outfall"/>
    <s v="J01-9082-2"/>
    <x v="2"/>
    <d v="2021-05-26T10:05:00"/>
    <x v="0"/>
    <n v="60"/>
    <m/>
    <s v="CFU/100 mL"/>
    <n v="110"/>
    <n v="0"/>
    <x v="0"/>
    <m/>
  </r>
  <r>
    <x v="0"/>
    <s v="Aliso Creek"/>
    <n v="901.13"/>
    <x v="0"/>
    <s v="Major MS4 Outfall"/>
    <s v="J01-9046-1"/>
    <x v="2"/>
    <d v="2021-05-27T09:10:00"/>
    <x v="0"/>
    <n v="20"/>
    <m/>
    <s v="CFU/100 mL"/>
    <n v="110"/>
    <n v="0"/>
    <x v="0"/>
    <m/>
  </r>
  <r>
    <x v="1"/>
    <s v="Aliso Creek"/>
    <n v="901.13"/>
    <x v="0"/>
    <s v="Major MS4 Outfall"/>
    <s v="J03-9221-1"/>
    <x v="2"/>
    <d v="2021-05-27T10:30:00"/>
    <x v="0"/>
    <n v="50"/>
    <m/>
    <s v="CFU/100 mL"/>
    <n v="110"/>
    <n v="0"/>
    <x v="0"/>
    <m/>
  </r>
  <r>
    <x v="0"/>
    <s v="Aliso Creek"/>
    <n v="901.13"/>
    <x v="0"/>
    <s v="Major MS4 Outfall"/>
    <s v="J01-10004-1"/>
    <x v="2"/>
    <d v="2021-05-27T10:39:00"/>
    <x v="0"/>
    <n v="7100"/>
    <m/>
    <s v="CFU/100 mL"/>
    <n v="110"/>
    <n v="1"/>
    <x v="0"/>
    <m/>
  </r>
  <r>
    <x v="1"/>
    <s v="Aliso Creek"/>
    <n v="901.13"/>
    <x v="0"/>
    <s v="Major MS4 Outfall"/>
    <s v="J01-9224-1"/>
    <x v="2"/>
    <d v="2021-05-27T11:11:00"/>
    <x v="0"/>
    <n v="3100"/>
    <m/>
    <s v="CFU/100 mL"/>
    <n v="110"/>
    <n v="1"/>
    <x v="0"/>
    <m/>
  </r>
  <r>
    <x v="1"/>
    <s v="Aliso Creek"/>
    <n v="901.13"/>
    <x v="0"/>
    <s v="Major MS4 Outfall"/>
    <s v="J01-9224-2"/>
    <x v="2"/>
    <d v="2021-05-27T11:44:00"/>
    <x v="0"/>
    <s v="&lt;9"/>
    <s v="&lt;"/>
    <s v="CFU/100 mL"/>
    <n v="110"/>
    <n v="1"/>
    <x v="0"/>
    <m/>
  </r>
  <r>
    <x v="3"/>
    <s v="San Juan Creek"/>
    <n v="901.27"/>
    <x v="2"/>
    <s v="Major MS4 Outfall"/>
    <s v="L01-728-5"/>
    <x v="2"/>
    <d v="2021-06-02T10:26:00"/>
    <x v="0"/>
    <n v="200"/>
    <m/>
    <s v="CFU/100 mL"/>
    <n v="110"/>
    <n v="1"/>
    <x v="0"/>
    <m/>
  </r>
  <r>
    <x v="3"/>
    <s v="San Juan Creek"/>
    <n v="901.27"/>
    <x v="2"/>
    <s v="Major MS4 Outfall"/>
    <s v="L01-728-5"/>
    <x v="2"/>
    <d v="2021-09-01T08:35:00"/>
    <x v="0"/>
    <n v="10000"/>
    <m/>
    <s v="CFU/100 mL"/>
    <n v="110"/>
    <n v="1"/>
    <x v="0"/>
    <m/>
  </r>
  <r>
    <x v="0"/>
    <s v="Aliso Creek"/>
    <n v="901.13"/>
    <x v="0"/>
    <s v="Major MS4 Outfall"/>
    <s v="J01-9046-2"/>
    <x v="2"/>
    <d v="2021-09-07T07:43:00"/>
    <x v="0"/>
    <n v="1800"/>
    <s v="&gt;="/>
    <s v="CFU/100 mL"/>
    <n v="110"/>
    <n v="1"/>
    <x v="0"/>
    <m/>
  </r>
  <r>
    <x v="0"/>
    <s v="Aliso Creek"/>
    <n v="901.13"/>
    <x v="0"/>
    <s v="Major MS4 Outfall"/>
    <s v="J01-9785-1"/>
    <x v="2"/>
    <d v="2021-09-07T08:56:00"/>
    <x v="0"/>
    <n v="38000"/>
    <m/>
    <s v="CFU/100 mL"/>
    <n v="110"/>
    <n v="1"/>
    <x v="0"/>
    <m/>
  </r>
  <r>
    <x v="2"/>
    <s v="Aliso Creek"/>
    <n v="901.13"/>
    <x v="0"/>
    <s v="Major MS4 Outfall"/>
    <s v="J01-9007-1"/>
    <x v="2"/>
    <d v="2021-09-07T09:04:00"/>
    <x v="0"/>
    <n v="590"/>
    <m/>
    <s v="CFU/100 mL"/>
    <n v="110"/>
    <n v="1"/>
    <x v="0"/>
    <m/>
  </r>
  <r>
    <x v="2"/>
    <s v="Aliso Creek"/>
    <n v="901.13"/>
    <x v="0"/>
    <s v="Major MS4 Outfall"/>
    <s v="J01-9992-1"/>
    <x v="2"/>
    <d v="2021-09-07T09:49:00"/>
    <x v="0"/>
    <n v="6900"/>
    <m/>
    <s v="CFU/100 mL"/>
    <n v="110"/>
    <n v="1"/>
    <x v="0"/>
    <m/>
  </r>
  <r>
    <x v="0"/>
    <s v="Aliso Creek"/>
    <n v="901.13"/>
    <x v="0"/>
    <s v="Major MS4 Outfall"/>
    <s v="J01-10004-1"/>
    <x v="2"/>
    <d v="2021-09-07T10:25:00"/>
    <x v="0"/>
    <n v="2500"/>
    <m/>
    <s v="CFU/100 mL"/>
    <n v="110"/>
    <n v="1"/>
    <x v="0"/>
    <m/>
  </r>
  <r>
    <x v="2"/>
    <s v="Aliso Creek"/>
    <n v="901.13"/>
    <x v="0"/>
    <s v="Major MS4 Outfall"/>
    <s v="J01-9082-2"/>
    <x v="2"/>
    <d v="2021-09-07T10:59:00"/>
    <x v="0"/>
    <n v="210"/>
    <m/>
    <s v="CFU/100 mL"/>
    <n v="110"/>
    <n v="1"/>
    <x v="0"/>
    <m/>
  </r>
  <r>
    <x v="1"/>
    <s v="Aliso Creek"/>
    <n v="901.13"/>
    <x v="0"/>
    <s v="Major MS4 Outfall"/>
    <s v="J01-9224-1"/>
    <x v="2"/>
    <d v="2021-09-13T09:46:00"/>
    <x v="0"/>
    <n v="290"/>
    <m/>
    <s v="CFU/100 mL"/>
    <n v="110"/>
    <n v="1"/>
    <x v="0"/>
    <m/>
  </r>
  <r>
    <x v="1"/>
    <s v="Aliso Creek"/>
    <n v="901.13"/>
    <x v="0"/>
    <s v="Major MS4 Outfall"/>
    <s v="J01-9224-2"/>
    <x v="2"/>
    <d v="2021-09-13T10:17:00"/>
    <x v="0"/>
    <n v="9"/>
    <s v="&lt;"/>
    <s v="CFU/100 mL"/>
    <n v="110"/>
    <n v="0"/>
    <x v="0"/>
    <m/>
  </r>
  <r>
    <x v="1"/>
    <s v="Aliso Creek"/>
    <n v="901.13"/>
    <x v="0"/>
    <s v="Major MS4 Outfall"/>
    <s v="J03-9221-1"/>
    <x v="2"/>
    <d v="2021-09-13T10:57:00"/>
    <x v="0"/>
    <n v="140"/>
    <s v="&gt;="/>
    <s v="CFU/100 mL"/>
    <n v="110"/>
    <n v="1"/>
    <x v="0"/>
    <m/>
  </r>
  <r>
    <x v="2"/>
    <s v="Aliso Creek"/>
    <n v="901.13"/>
    <x v="0"/>
    <s v="Major MS4 Outfall"/>
    <s v="J01-9131-1"/>
    <x v="2"/>
    <d v="2021-09-16T09:39:00"/>
    <x v="0"/>
    <n v="6100"/>
    <m/>
    <s v="CFU/100 mL"/>
    <n v="110"/>
    <n v="1"/>
    <x v="0"/>
    <m/>
  </r>
  <r>
    <x v="2"/>
    <s v="Aliso Creek"/>
    <n v="901.13"/>
    <x v="0"/>
    <s v="Major MS4 Outfall"/>
    <s v="J01-9131-1"/>
    <x v="2"/>
    <d v="2021-05-26T07:34:00"/>
    <x v="1"/>
    <n v="6100"/>
    <m/>
    <s v="CFU/100 mL"/>
    <n v="400"/>
    <n v="1"/>
    <x v="0"/>
    <m/>
  </r>
  <r>
    <x v="2"/>
    <s v="Aliso Creek"/>
    <n v="901.13"/>
    <x v="0"/>
    <s v="Major MS4 Outfall"/>
    <s v="J01-9992-1"/>
    <x v="2"/>
    <d v="2021-05-26T08:07:00"/>
    <x v="1"/>
    <n v="20000"/>
    <m/>
    <s v="CFU/100 mL"/>
    <n v="400"/>
    <n v="1"/>
    <x v="0"/>
    <m/>
  </r>
  <r>
    <x v="2"/>
    <s v="Aliso Creek"/>
    <n v="901.13"/>
    <x v="0"/>
    <s v="Major MS4 Outfall"/>
    <s v="J01-9007-1"/>
    <x v="2"/>
    <d v="2021-05-26T09:04:00"/>
    <x v="1"/>
    <n v="600"/>
    <m/>
    <s v="CFU/100 mL"/>
    <n v="400"/>
    <n v="1"/>
    <x v="0"/>
    <m/>
  </r>
  <r>
    <x v="2"/>
    <s v="Aliso Creek"/>
    <n v="901.13"/>
    <x v="0"/>
    <s v="Major MS4 Outfall"/>
    <s v="J01-9082-2"/>
    <x v="2"/>
    <d v="2021-05-26T10:05:00"/>
    <x v="1"/>
    <n v="80"/>
    <m/>
    <s v="CFU/100 mL"/>
    <n v="400"/>
    <n v="0"/>
    <x v="0"/>
    <m/>
  </r>
  <r>
    <x v="0"/>
    <s v="Aliso Creek"/>
    <n v="901.13"/>
    <x v="0"/>
    <s v="Major MS4 Outfall"/>
    <s v="J01-9046-1"/>
    <x v="2"/>
    <d v="2021-05-27T09:10:00"/>
    <x v="1"/>
    <n v="20"/>
    <m/>
    <s v="CFU/100 mL"/>
    <n v="400"/>
    <n v="0"/>
    <x v="0"/>
    <m/>
  </r>
  <r>
    <x v="1"/>
    <s v="Aliso Creek"/>
    <n v="901.13"/>
    <x v="0"/>
    <s v="Major MS4 Outfall"/>
    <s v="J03-9221-1"/>
    <x v="2"/>
    <d v="2021-05-27T10:30:00"/>
    <x v="1"/>
    <n v="70"/>
    <m/>
    <s v="CFU/100 mL"/>
    <n v="400"/>
    <n v="0"/>
    <x v="0"/>
    <m/>
  </r>
  <r>
    <x v="0"/>
    <s v="Aliso Creek"/>
    <n v="901.13"/>
    <x v="0"/>
    <s v="Major MS4 Outfall"/>
    <s v="J01-10004-1"/>
    <x v="2"/>
    <d v="2021-05-27T10:39:00"/>
    <x v="1"/>
    <n v="13300"/>
    <m/>
    <s v="CFU/100 mL"/>
    <n v="400"/>
    <n v="1"/>
    <x v="0"/>
    <m/>
  </r>
  <r>
    <x v="1"/>
    <s v="Aliso Creek"/>
    <n v="901.13"/>
    <x v="0"/>
    <s v="Major MS4 Outfall"/>
    <s v="J01-9224-1"/>
    <x v="2"/>
    <d v="2021-05-27T11:11:00"/>
    <x v="1"/>
    <n v="4000"/>
    <m/>
    <s v="CFU/100 mL"/>
    <n v="400"/>
    <n v="1"/>
    <x v="0"/>
    <m/>
  </r>
  <r>
    <x v="1"/>
    <s v="Aliso Creek"/>
    <n v="901.13"/>
    <x v="0"/>
    <s v="Major MS4 Outfall"/>
    <s v="J01-9224-2"/>
    <x v="2"/>
    <d v="2021-05-27T11:44:00"/>
    <x v="1"/>
    <n v="20"/>
    <m/>
    <s v="CFU/100 mL"/>
    <n v="400"/>
    <n v="0"/>
    <x v="0"/>
    <m/>
  </r>
  <r>
    <x v="3"/>
    <s v="San Juan Creek"/>
    <n v="901.27"/>
    <x v="2"/>
    <s v="Major MS4 Outfall"/>
    <s v="L01-728-5"/>
    <x v="2"/>
    <d v="2021-06-02T10:26:00"/>
    <x v="1"/>
    <n v="230"/>
    <m/>
    <s v="CFU/100 mL"/>
    <n v="400"/>
    <n v="0"/>
    <x v="0"/>
    <m/>
  </r>
  <r>
    <x v="3"/>
    <s v="San Juan Creek"/>
    <n v="901.27"/>
    <x v="2"/>
    <s v="Major MS4 Outfall"/>
    <s v="L01-728-5"/>
    <x v="2"/>
    <d v="2021-09-01T08:35:00"/>
    <x v="1"/>
    <n v="9100"/>
    <s v="&gt;="/>
    <s v="CFU/100 mL"/>
    <n v="400"/>
    <n v="1"/>
    <x v="0"/>
    <m/>
  </r>
  <r>
    <x v="0"/>
    <s v="Aliso Creek"/>
    <n v="901.13"/>
    <x v="0"/>
    <s v="Major MS4 Outfall"/>
    <s v="J01-9046-2"/>
    <x v="2"/>
    <d v="2021-09-07T07:43:00"/>
    <x v="1"/>
    <n v="6000"/>
    <s v="&gt;="/>
    <s v="CFU/100 mL"/>
    <n v="400"/>
    <n v="1"/>
    <x v="0"/>
    <m/>
  </r>
  <r>
    <x v="0"/>
    <s v="Aliso Creek"/>
    <n v="901.13"/>
    <x v="0"/>
    <s v="Major MS4 Outfall"/>
    <s v="J01-9785-1"/>
    <x v="2"/>
    <d v="2021-09-07T08:56:00"/>
    <x v="1"/>
    <n v="44000"/>
    <m/>
    <s v="CFU/100 mL"/>
    <n v="400"/>
    <n v="1"/>
    <x v="0"/>
    <m/>
  </r>
  <r>
    <x v="2"/>
    <s v="Aliso Creek"/>
    <n v="901.13"/>
    <x v="0"/>
    <s v="Major MS4 Outfall"/>
    <s v="J01-9007-1"/>
    <x v="2"/>
    <d v="2021-09-07T09:04:00"/>
    <x v="1"/>
    <n v="982"/>
    <s v="&gt;="/>
    <s v="CFU/100 mL"/>
    <n v="400"/>
    <n v="1"/>
    <x v="0"/>
    <m/>
  </r>
  <r>
    <x v="2"/>
    <s v="Aliso Creek"/>
    <n v="901.13"/>
    <x v="0"/>
    <s v="Major MS4 Outfall"/>
    <s v="J01-9992-1"/>
    <x v="2"/>
    <d v="2021-09-07T09:49:00"/>
    <x v="1"/>
    <n v="9900"/>
    <s v="&gt;="/>
    <s v="CFU/100 mL"/>
    <n v="400"/>
    <n v="1"/>
    <x v="0"/>
    <m/>
  </r>
  <r>
    <x v="0"/>
    <s v="Aliso Creek"/>
    <n v="901.13"/>
    <x v="0"/>
    <s v="Major MS4 Outfall"/>
    <s v="J01-10004-1"/>
    <x v="2"/>
    <d v="2021-09-07T10:25:00"/>
    <x v="1"/>
    <n v="5400"/>
    <m/>
    <s v="CFU/100 mL"/>
    <n v="400"/>
    <n v="1"/>
    <x v="0"/>
    <m/>
  </r>
  <r>
    <x v="2"/>
    <s v="Aliso Creek"/>
    <n v="901.13"/>
    <x v="0"/>
    <s v="Major MS4 Outfall"/>
    <s v="J01-9082-2"/>
    <x v="2"/>
    <d v="2021-09-07T10:59:00"/>
    <x v="1"/>
    <n v="260"/>
    <s v="&gt;="/>
    <s v="CFU/100 mL"/>
    <n v="400"/>
    <n v="0"/>
    <x v="0"/>
    <m/>
  </r>
  <r>
    <x v="1"/>
    <s v="Aliso Creek"/>
    <n v="901.13"/>
    <x v="0"/>
    <s v="Major MS4 Outfall"/>
    <s v="J01-9224-1"/>
    <x v="2"/>
    <d v="2021-09-13T09:46:00"/>
    <x v="1"/>
    <n v="280"/>
    <m/>
    <s v="CFU/100 mL"/>
    <n v="400"/>
    <n v="0"/>
    <x v="0"/>
    <m/>
  </r>
  <r>
    <x v="1"/>
    <s v="Aliso Creek"/>
    <n v="901.13"/>
    <x v="0"/>
    <s v="Major MS4 Outfall"/>
    <s v="J01-9224-2"/>
    <x v="2"/>
    <d v="2021-09-13T10:17:00"/>
    <x v="1"/>
    <n v="9"/>
    <m/>
    <s v="CFU/100 mL"/>
    <n v="400"/>
    <n v="0"/>
    <x v="0"/>
    <m/>
  </r>
  <r>
    <x v="1"/>
    <s v="Aliso Creek"/>
    <n v="901.13"/>
    <x v="0"/>
    <s v="Major MS4 Outfall"/>
    <s v="J03-9221-1"/>
    <x v="2"/>
    <d v="2021-09-13T10:57:00"/>
    <x v="1"/>
    <n v="200"/>
    <m/>
    <s v="CFU/100 mL"/>
    <n v="400"/>
    <n v="0"/>
    <x v="0"/>
    <m/>
  </r>
  <r>
    <x v="2"/>
    <s v="Aliso Creek"/>
    <n v="901.13"/>
    <x v="0"/>
    <s v="Major MS4 Outfall"/>
    <s v="J01-9131-1"/>
    <x v="2"/>
    <d v="2021-09-16T09:39:00"/>
    <x v="1"/>
    <n v="7300"/>
    <m/>
    <s v="CFU/100 mL"/>
    <n v="400"/>
    <n v="1"/>
    <x v="0"/>
    <m/>
  </r>
  <r>
    <x v="2"/>
    <s v="Aliso Creek"/>
    <n v="901.13"/>
    <x v="0"/>
    <s v="Major MS4 Outfall"/>
    <s v="J01-9131-1"/>
    <x v="2"/>
    <d v="2021-05-26T07:34:00"/>
    <x v="2"/>
    <n v="12800"/>
    <m/>
    <s v="CFU/100 mL"/>
    <n v="320"/>
    <n v="1"/>
    <x v="0"/>
    <m/>
  </r>
  <r>
    <x v="2"/>
    <s v="Aliso Creek"/>
    <n v="901.13"/>
    <x v="0"/>
    <s v="Major MS4 Outfall"/>
    <s v="J01-9992-1"/>
    <x v="2"/>
    <d v="2021-05-26T08:07:00"/>
    <x v="2"/>
    <n v="14200"/>
    <m/>
    <s v="CFU/100 mL"/>
    <n v="320"/>
    <n v="1"/>
    <x v="0"/>
    <m/>
  </r>
  <r>
    <x v="2"/>
    <s v="Aliso Creek"/>
    <n v="901.13"/>
    <x v="0"/>
    <s v="Major MS4 Outfall"/>
    <s v="J01-9007-1"/>
    <x v="2"/>
    <d v="2021-05-26T09:04:00"/>
    <x v="2"/>
    <n v="1330"/>
    <m/>
    <s v="CFU/100 mL"/>
    <n v="320"/>
    <n v="1"/>
    <x v="0"/>
    <m/>
  </r>
  <r>
    <x v="2"/>
    <s v="Aliso Creek"/>
    <n v="901.13"/>
    <x v="0"/>
    <s v="Major MS4 Outfall"/>
    <s v="J01-9082-2"/>
    <x v="2"/>
    <d v="2021-05-26T10:05:00"/>
    <x v="2"/>
    <n v="160"/>
    <m/>
    <s v="CFU/100 mL"/>
    <n v="320"/>
    <n v="0"/>
    <x v="0"/>
    <m/>
  </r>
  <r>
    <x v="0"/>
    <s v="Aliso Creek"/>
    <n v="901.13"/>
    <x v="0"/>
    <s v="Major MS4 Outfall"/>
    <s v="J01-9046-1"/>
    <x v="2"/>
    <d v="2021-05-27T09:10:00"/>
    <x v="2"/>
    <n v="3500"/>
    <m/>
    <s v="CFU/100 mL"/>
    <n v="320"/>
    <n v="1"/>
    <x v="0"/>
    <m/>
  </r>
  <r>
    <x v="1"/>
    <s v="Aliso Creek"/>
    <n v="901.13"/>
    <x v="0"/>
    <s v="Major MS4 Outfall"/>
    <s v="J03-9221-1"/>
    <x v="2"/>
    <d v="2021-05-27T10:30:00"/>
    <x v="2"/>
    <n v="390"/>
    <m/>
    <s v="CFU/100 mL"/>
    <n v="320"/>
    <n v="1"/>
    <x v="0"/>
    <m/>
  </r>
  <r>
    <x v="0"/>
    <s v="Aliso Creek"/>
    <n v="901.13"/>
    <x v="0"/>
    <s v="Major MS4 Outfall"/>
    <s v="J01-10004-1"/>
    <x v="2"/>
    <d v="2021-05-27T10:39:00"/>
    <x v="2"/>
    <n v="20000"/>
    <m/>
    <s v="CFU/100 mL"/>
    <n v="320"/>
    <n v="1"/>
    <x v="0"/>
    <m/>
  </r>
  <r>
    <x v="1"/>
    <s v="Aliso Creek"/>
    <n v="901.13"/>
    <x v="0"/>
    <s v="Major MS4 Outfall"/>
    <s v="J01-9224-1"/>
    <x v="2"/>
    <d v="2021-05-27T11:11:00"/>
    <x v="2"/>
    <n v="710"/>
    <m/>
    <s v="CFU/100 mL"/>
    <n v="320"/>
    <n v="1"/>
    <x v="0"/>
    <m/>
  </r>
  <r>
    <x v="1"/>
    <s v="Aliso Creek"/>
    <n v="901.13"/>
    <x v="0"/>
    <s v="Major MS4 Outfall"/>
    <s v="J01-9224-2"/>
    <x v="2"/>
    <d v="2021-05-27T11:44:00"/>
    <x v="2"/>
    <n v="40"/>
    <m/>
    <s v="CFU/100 mL"/>
    <n v="320"/>
    <n v="0"/>
    <x v="0"/>
    <m/>
  </r>
  <r>
    <x v="3"/>
    <s v="San Juan Creek"/>
    <n v="901.27"/>
    <x v="2"/>
    <s v="Major MS4 Outfall"/>
    <s v="L01-728-5"/>
    <x v="2"/>
    <d v="2021-06-02T10:26:00"/>
    <x v="2"/>
    <n v="600"/>
    <m/>
    <s v="CFU/100 mL"/>
    <n v="320"/>
    <n v="1"/>
    <x v="0"/>
    <m/>
  </r>
  <r>
    <x v="3"/>
    <s v="San Juan Creek"/>
    <n v="901.27"/>
    <x v="2"/>
    <s v="Major MS4 Outfall"/>
    <s v="L01-728-5"/>
    <x v="2"/>
    <d v="2021-09-01T08:35:00"/>
    <x v="2"/>
    <n v="30000"/>
    <m/>
    <s v="CFU/100 mL"/>
    <n v="320"/>
    <n v="1"/>
    <x v="0"/>
    <m/>
  </r>
  <r>
    <x v="0"/>
    <s v="Aliso Creek"/>
    <n v="901.13"/>
    <x v="0"/>
    <s v="Major MS4 Outfall"/>
    <s v="J01-9046-2"/>
    <x v="2"/>
    <d v="2021-09-07T07:43:00"/>
    <x v="2"/>
    <n v="30000"/>
    <m/>
    <s v="CFU/100 mL"/>
    <n v="320"/>
    <n v="1"/>
    <x v="0"/>
    <m/>
  </r>
  <r>
    <x v="0"/>
    <s v="Aliso Creek"/>
    <n v="901.13"/>
    <x v="0"/>
    <s v="Major MS4 Outfall"/>
    <s v="J01-9785-1"/>
    <x v="2"/>
    <d v="2021-09-07T08:56:00"/>
    <x v="2"/>
    <n v="29000"/>
    <m/>
    <s v="CFU/100 mL"/>
    <n v="320"/>
    <n v="1"/>
    <x v="0"/>
    <m/>
  </r>
  <r>
    <x v="2"/>
    <s v="Aliso Creek"/>
    <n v="901.13"/>
    <x v="0"/>
    <s v="Major MS4 Outfall"/>
    <s v="J01-9007-1"/>
    <x v="2"/>
    <d v="2021-09-07T09:04:00"/>
    <x v="2"/>
    <n v="4600"/>
    <m/>
    <s v="CFU/100 mL"/>
    <n v="320"/>
    <n v="1"/>
    <x v="0"/>
    <m/>
  </r>
  <r>
    <x v="2"/>
    <s v="Aliso Creek"/>
    <n v="901.13"/>
    <x v="0"/>
    <s v="Major MS4 Outfall"/>
    <s v="J01-9992-1"/>
    <x v="2"/>
    <d v="2021-09-07T09:49:00"/>
    <x v="2"/>
    <n v="15900"/>
    <m/>
    <s v="CFU/100 mL"/>
    <n v="320"/>
    <n v="1"/>
    <x v="0"/>
    <m/>
  </r>
  <r>
    <x v="0"/>
    <s v="Aliso Creek"/>
    <n v="901.13"/>
    <x v="0"/>
    <s v="Major MS4 Outfall"/>
    <s v="J01-10004-1"/>
    <x v="2"/>
    <d v="2021-09-07T10:25:00"/>
    <x v="2"/>
    <n v="10300"/>
    <m/>
    <s v="CFU/100 mL"/>
    <n v="320"/>
    <n v="1"/>
    <x v="0"/>
    <m/>
  </r>
  <r>
    <x v="2"/>
    <s v="Aliso Creek"/>
    <n v="901.13"/>
    <x v="0"/>
    <s v="Major MS4 Outfall"/>
    <s v="J01-9082-2"/>
    <x v="2"/>
    <d v="2021-09-07T10:59:00"/>
    <x v="2"/>
    <n v="1120"/>
    <m/>
    <s v="CFU/100 mL"/>
    <n v="320"/>
    <n v="1"/>
    <x v="0"/>
    <m/>
  </r>
  <r>
    <x v="1"/>
    <s v="Aliso Creek"/>
    <n v="901.13"/>
    <x v="0"/>
    <s v="Major MS4 Outfall"/>
    <s v="J01-9224-1"/>
    <x v="2"/>
    <d v="2021-09-13T09:46:00"/>
    <x v="2"/>
    <n v="860"/>
    <m/>
    <s v="CFU/100 mL"/>
    <n v="320"/>
    <n v="1"/>
    <x v="0"/>
    <m/>
  </r>
  <r>
    <x v="1"/>
    <s v="Aliso Creek"/>
    <n v="901.13"/>
    <x v="0"/>
    <s v="Major MS4 Outfall"/>
    <s v="J01-9224-2"/>
    <x v="2"/>
    <d v="2021-09-13T10:17:00"/>
    <x v="2"/>
    <n v="150"/>
    <m/>
    <s v="CFU/100 mL"/>
    <n v="320"/>
    <n v="0"/>
    <x v="0"/>
    <m/>
  </r>
  <r>
    <x v="1"/>
    <s v="Aliso Creek"/>
    <n v="901.13"/>
    <x v="0"/>
    <s v="Major MS4 Outfall"/>
    <s v="J03-9221-1"/>
    <x v="2"/>
    <d v="2021-09-13T10:57:00"/>
    <x v="2"/>
    <n v="2100"/>
    <m/>
    <s v="CFU/100 mL"/>
    <n v="320"/>
    <n v="1"/>
    <x v="0"/>
    <m/>
  </r>
  <r>
    <x v="2"/>
    <s v="Aliso Creek"/>
    <n v="901.13"/>
    <x v="0"/>
    <s v="Major MS4 Outfall"/>
    <s v="J01-9131-1"/>
    <x v="2"/>
    <d v="2021-09-16T09:39:00"/>
    <x v="2"/>
    <n v="9000"/>
    <m/>
    <s v="CFU/100 mL"/>
    <n v="320"/>
    <n v="1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s v="San Juan Creek"/>
    <n v="901.27"/>
    <x v="0"/>
    <m/>
    <s v="Major MS4 Outfall"/>
    <s v="L01-399-1"/>
    <x v="0"/>
    <d v="2021-04-13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399-2"/>
    <x v="0"/>
    <d v="2021-04-13T00:00:00"/>
    <x v="1"/>
    <s v="Undetermined"/>
    <n v="1.6000000000000001E-3"/>
    <s v="cfs"/>
    <x v="0"/>
    <s v="Floating leaf"/>
  </r>
  <r>
    <x v="0"/>
    <s v="San Juan Creek"/>
    <n v="901.27"/>
    <x v="0"/>
    <m/>
    <s v="Major MS4 Outfall"/>
    <s v="L01-399-1"/>
    <x v="0"/>
    <d v="2021-04-29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517-3"/>
    <x v="0"/>
    <d v="2021-04-29T00:00:00"/>
    <x v="1"/>
    <s v="Undetermined"/>
    <n v="2.64E-3"/>
    <s v="cfs"/>
    <x v="0"/>
    <s v="Floating leaf"/>
  </r>
  <r>
    <x v="0"/>
    <s v="San Juan Creek"/>
    <n v="901.27"/>
    <x v="0"/>
    <m/>
    <s v="Major MS4 Outfall"/>
    <s v="L01-517-3"/>
    <x v="0"/>
    <d v="2021-04-29T00:00:00"/>
    <x v="1"/>
    <s v="Undetermined"/>
    <n v="2.64E-3"/>
    <s v="cfs"/>
    <x v="0"/>
    <s v="Floating leaf"/>
  </r>
  <r>
    <x v="0"/>
    <s v="San Juan Creek"/>
    <n v="901.27"/>
    <x v="0"/>
    <m/>
    <s v="Major MS4 Outfall"/>
    <s v="L01-399-2"/>
    <x v="0"/>
    <d v="2021-04-29T00:00:00"/>
    <x v="1"/>
    <s v="None - Flow Infiltrates or Outfall is Dry"/>
    <n v="4.0000000000000002E-4"/>
    <s v="cfs"/>
    <x v="0"/>
    <s v="Floating leaf"/>
  </r>
  <r>
    <x v="0"/>
    <s v="San Juan Creek"/>
    <n v="901.27"/>
    <x v="0"/>
    <m/>
    <s v="Major MS4 Outfall"/>
    <s v="L01-517-6"/>
    <x v="0"/>
    <d v="2021-05-03T00:00:00"/>
    <x v="1"/>
    <s v="Direct Connection"/>
    <n v="3.5999999999999997E-2"/>
    <s v="cfs"/>
    <x v="0"/>
    <s v="Floating leaf"/>
  </r>
  <r>
    <x v="0"/>
    <s v="San Juan Creek"/>
    <n v="901.27"/>
    <x v="0"/>
    <m/>
    <s v="Major MS4 Outfall"/>
    <s v="L01-517-7"/>
    <x v="0"/>
    <d v="2021-05-03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94-1"/>
    <x v="0"/>
    <d v="2021-05-03T00:00:00"/>
    <x v="1"/>
    <s v="Direct Connection"/>
    <n v="0.112"/>
    <s v="cfs"/>
    <x v="0"/>
    <s v="Floating leaf"/>
  </r>
  <r>
    <x v="0"/>
    <s v="San Juan Creek"/>
    <n v="901.27"/>
    <x v="0"/>
    <m/>
    <s v="Major MS4 Outfall"/>
    <s v="L01-514-1"/>
    <x v="0"/>
    <d v="2021-05-03T00:00:00"/>
    <x v="2"/>
    <s v="Direct Connection"/>
    <n v="5.7142999999999999E-2"/>
    <s v="cfs"/>
    <x v="0"/>
    <s v="Floating leaf"/>
  </r>
  <r>
    <x v="0"/>
    <s v="San Juan Creek"/>
    <n v="901.27"/>
    <x v="0"/>
    <m/>
    <s v="Major MS4 Outfall"/>
    <s v="L01-471-1"/>
    <x v="0"/>
    <d v="2021-05-03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58-1"/>
    <x v="0"/>
    <d v="2021-05-03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49-2d"/>
    <x v="0"/>
    <d v="2021-05-18T00:00:00"/>
    <x v="1"/>
    <s v="Undetermined"/>
    <s v="NA"/>
    <s v="cfs"/>
    <x v="0"/>
    <m/>
  </r>
  <r>
    <x v="1"/>
    <s v="San Juan Creek"/>
    <n v="901.27"/>
    <x v="0"/>
    <m/>
    <s v="Major MS4 Outfall"/>
    <s v="L01-749-3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517-2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2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2"/>
    <x v="0"/>
    <d v="2021-05-18T00:00:00"/>
    <x v="1"/>
    <s v="Direct Connection"/>
    <s v="NA"/>
    <s v="cfs"/>
    <x v="0"/>
    <m/>
  </r>
  <r>
    <x v="1"/>
    <s v="San Juan Creek"/>
    <n v="901.27"/>
    <x v="0"/>
    <m/>
    <s v="Major MS4 Outfall"/>
    <s v="L01-618-5 (L01S09)"/>
    <x v="0"/>
    <d v="2021-05-18T00:00:00"/>
    <x v="1"/>
    <s v="Direct Connection"/>
    <n v="1.5043000000000001E-2"/>
    <s v="cfs"/>
    <x v="0"/>
    <s v="Floating leaf"/>
  </r>
  <r>
    <x v="1"/>
    <s v="San Juan Creek"/>
    <n v="901.27"/>
    <x v="0"/>
    <m/>
    <s v="Major MS4 Outfall"/>
    <s v="L01-517-1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517-1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5"/>
    <x v="0"/>
    <d v="2021-05-18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618-3"/>
    <x v="0"/>
    <d v="2021-05-18T00:00:00"/>
    <x v="3"/>
    <s v="Partial - Significant Distance"/>
    <s v="NA"/>
    <s v="cfs"/>
    <x v="0"/>
    <m/>
  </r>
  <r>
    <x v="1"/>
    <s v="San Juan Creek"/>
    <n v="901.27"/>
    <x v="0"/>
    <m/>
    <s v="Major MS4 Outfall"/>
    <s v="L01-748-1"/>
    <x v="0"/>
    <d v="2021-05-18T00:00:00"/>
    <x v="2"/>
    <s v="Undetermined"/>
    <s v="NA"/>
    <s v="cfs"/>
    <x v="0"/>
    <m/>
  </r>
  <r>
    <x v="1"/>
    <s v="San Juan Creek"/>
    <n v="901.27"/>
    <x v="0"/>
    <m/>
    <s v="Major MS4 Outfall"/>
    <s v="L01-602-2"/>
    <x v="0"/>
    <d v="2021-05-18T00:00:00"/>
    <x v="1"/>
    <s v="Direct Connection"/>
    <s v="NA"/>
    <s v="cfs"/>
    <x v="0"/>
    <m/>
  </r>
  <r>
    <x v="1"/>
    <s v="San Juan Creek"/>
    <n v="901.27"/>
    <x v="0"/>
    <m/>
    <s v="Major MS4 Outfall"/>
    <s v="L01-766-9"/>
    <x v="0"/>
    <d v="2021-05-18T00:00:00"/>
    <x v="1"/>
    <s v="Direct Connection"/>
    <s v="NA"/>
    <s v="cfs"/>
    <x v="0"/>
    <m/>
  </r>
  <r>
    <x v="1"/>
    <s v="San Juan Creek"/>
    <n v="901.27"/>
    <x v="0"/>
    <m/>
    <s v="Major MS4 Outfall"/>
    <s v="L01-618-4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1"/>
    <x v="0"/>
    <d v="2021-05-18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47-1"/>
    <x v="0"/>
    <d v="2021-05-18T00:00:00"/>
    <x v="2"/>
    <s v="Undetermined"/>
    <s v="NA"/>
    <s v="cfs"/>
    <x v="0"/>
    <m/>
  </r>
  <r>
    <x v="1"/>
    <s v="San Juan Creek"/>
    <n v="901.27"/>
    <x v="0"/>
    <m/>
    <s v="Major MS4 Outfall"/>
    <s v="L01-556-1"/>
    <x v="0"/>
    <d v="2021-05-18T00:00:00"/>
    <x v="2"/>
    <s v="NA"/>
    <s v="NA"/>
    <s v="cfs"/>
    <x v="0"/>
    <m/>
  </r>
  <r>
    <x v="1"/>
    <s v="San Juan Creek"/>
    <n v="901.27"/>
    <x v="0"/>
    <m/>
    <s v="Major MS4 Outfall"/>
    <s v="L01-747-2"/>
    <x v="0"/>
    <d v="2021-05-18T00:00:00"/>
    <x v="1"/>
    <s v="None - Flow Infiltrates or Outfall is Dry"/>
    <n v="2.5090999999999999E-2"/>
    <s v="cfs"/>
    <x v="0"/>
    <s v="Floating leaf"/>
  </r>
  <r>
    <x v="1"/>
    <s v="San Juan Creek"/>
    <n v="901.27"/>
    <x v="0"/>
    <m/>
    <s v="Major MS4 Outfall"/>
    <s v="L01-747-2"/>
    <x v="0"/>
    <d v="2021-05-18T00:00:00"/>
    <x v="1"/>
    <s v="None - Flow Infiltrates or Outfall is Dry"/>
    <n v="2.5090999999999999E-2"/>
    <s v="cfs"/>
    <x v="0"/>
    <s v="Floating leaf"/>
  </r>
  <r>
    <x v="1"/>
    <s v="San Juan Creek"/>
    <n v="901.27"/>
    <x v="0"/>
    <m/>
    <s v="Major MS4 Outfall"/>
    <s v="L01-517-8"/>
    <x v="0"/>
    <d v="2021-05-1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4-2"/>
    <x v="0"/>
    <d v="2021-05-2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4-1 (L01S01)"/>
    <x v="0"/>
    <d v="2021-05-20T00:00:00"/>
    <x v="1"/>
    <s v="Partial - Significant Distance"/>
    <n v="4.4999999999999998E-2"/>
    <s v="cfs"/>
    <x v="0"/>
    <s v="Floating leaf"/>
  </r>
  <r>
    <x v="1"/>
    <s v="San Juan Creek"/>
    <n v="901.27"/>
    <x v="0"/>
    <m/>
    <s v="Major MS4 Outfall"/>
    <s v="L01-724-1 (L01S01)"/>
    <x v="0"/>
    <d v="2021-05-20T00:00:00"/>
    <x v="1"/>
    <s v="Partial - Significant Distance"/>
    <n v="4.4999999999999998E-2"/>
    <s v="cfs"/>
    <x v="0"/>
    <s v="Floating leaf"/>
  </r>
  <r>
    <x v="1"/>
    <s v="San Juan Creek"/>
    <n v="901.27"/>
    <x v="0"/>
    <m/>
    <s v="Major MS4 Outfall"/>
    <s v="L01-724-1 (L01S01)"/>
    <x v="0"/>
    <d v="2021-05-20T00:00:00"/>
    <x v="1"/>
    <s v="Partial - Significant Distance"/>
    <n v="4.4999999999999998E-2"/>
    <s v="cfs"/>
    <x v="0"/>
    <s v="Floating leaf"/>
  </r>
  <r>
    <x v="1"/>
    <s v="San Juan Creek"/>
    <n v="901.27"/>
    <x v="0"/>
    <m/>
    <s v="Major MS4 Outfall"/>
    <s v="L01-726-9"/>
    <x v="0"/>
    <d v="2021-05-2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8"/>
    <x v="0"/>
    <d v="2021-05-20T00:00:00"/>
    <x v="2"/>
    <s v="Direct Connection"/>
    <s v="NA"/>
    <s v="cfs"/>
    <x v="0"/>
    <m/>
  </r>
  <r>
    <x v="1"/>
    <s v="San Juan Creek"/>
    <n v="901.27"/>
    <x v="0"/>
    <m/>
    <s v="Major MS4 Outfall"/>
    <s v="L01-766-3"/>
    <x v="0"/>
    <d v="2021-05-20T00:00:00"/>
    <x v="2"/>
    <s v="Partial - Significant Distance"/>
    <s v="NA"/>
    <s v="cfs"/>
    <x v="0"/>
    <m/>
  </r>
  <r>
    <x v="1"/>
    <s v="San Juan Creek"/>
    <n v="901.27"/>
    <x v="0"/>
    <m/>
    <s v="Major MS4 Outfall"/>
    <s v="L01-724-4 (L01P03)"/>
    <x v="0"/>
    <d v="2021-05-20T00:00:00"/>
    <x v="1"/>
    <s v="Direct Connection"/>
    <n v="0.09"/>
    <s v="cfs"/>
    <x v="0"/>
    <s v="Floating leaf"/>
  </r>
  <r>
    <x v="1"/>
    <s v="San Juan Creek"/>
    <n v="901.27"/>
    <x v="0"/>
    <m/>
    <s v="Major MS4 Outfall"/>
    <s v="L01-724-4 (L01P03)"/>
    <x v="0"/>
    <d v="2021-05-20T00:00:00"/>
    <x v="1"/>
    <s v="Direct Connection"/>
    <n v="0.09"/>
    <s v="cfs"/>
    <x v="0"/>
    <s v="Floating leaf"/>
  </r>
  <r>
    <x v="2"/>
    <s v="San Juan Creek"/>
    <n v="901.27"/>
    <x v="1"/>
    <s v="None - Flow Infiltrates or Outfall is Dry"/>
    <s v="Major MS4 Outfall"/>
    <s v="L01-726-6"/>
    <x v="0"/>
    <d v="2021-05-24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0"/>
    <d v="2021-05-24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3"/>
    <x v="0"/>
    <d v="2021-05-24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3"/>
    <x v="0"/>
    <d v="2021-05-24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6-5"/>
    <x v="0"/>
    <d v="2021-05-24T00:00:00"/>
    <x v="1"/>
    <s v="Direct Connection"/>
    <n v="6.0000000000000001E-3"/>
    <s v="cfs"/>
    <x v="0"/>
    <s v="Floating leaf"/>
  </r>
  <r>
    <x v="2"/>
    <s v="San Juan Creek"/>
    <n v="901.27"/>
    <x v="1"/>
    <s v="Direct Connection"/>
    <s v="Major MS4 Outfall"/>
    <s v="L01-726-5"/>
    <x v="0"/>
    <d v="2021-05-24T00:00:00"/>
    <x v="1"/>
    <s v="Direct Connection"/>
    <n v="6.0000000000000001E-3"/>
    <s v="cfs"/>
    <x v="0"/>
    <s v="Floating leaf"/>
  </r>
  <r>
    <x v="1"/>
    <s v="San Juan Creek"/>
    <n v="901.27"/>
    <x v="0"/>
    <m/>
    <s v="Major MS4 Outfall"/>
    <s v="L01-766-8"/>
    <x v="0"/>
    <d v="2021-06-0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2 (L01S06)"/>
    <x v="0"/>
    <d v="2021-06-01T00:00:00"/>
    <x v="1"/>
    <s v="None - Flow Infiltrates or Outfall is Dry"/>
    <n v="5.1332999999999997E-2"/>
    <s v="cfs"/>
    <x v="0"/>
    <s v="Floating leaf"/>
  </r>
  <r>
    <x v="1"/>
    <s v="San Juan Creek"/>
    <n v="901.27"/>
    <x v="0"/>
    <m/>
    <s v="Major MS4 Outfall"/>
    <s v="L01-766-4"/>
    <x v="0"/>
    <d v="2021-06-0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5"/>
    <x v="0"/>
    <d v="2021-06-0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7"/>
    <x v="0"/>
    <d v="2021-06-01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0"/>
    <d v="2021-06-02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0"/>
    <d v="2021-06-02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8-3 (L01S02)"/>
    <x v="0"/>
    <d v="2021-06-02T00:00:00"/>
    <x v="1"/>
    <s v="Direct Connection"/>
    <n v="3.1103999999999998"/>
    <s v="cfs"/>
    <x v="0"/>
    <s v="Floating leaf"/>
  </r>
  <r>
    <x v="2"/>
    <s v="San Juan Creek"/>
    <n v="901.27"/>
    <x v="1"/>
    <s v="None - Flow Infiltrates or Outfall is Dry"/>
    <s v="Major MS4 Outfall"/>
    <s v="L01-728-5 (L01-DP)"/>
    <x v="0"/>
    <d v="2021-06-02T00:00:00"/>
    <x v="1"/>
    <s v="None - Flow Infiltrates or Outfall is Dry"/>
    <n v="5.4000000000000003E-3"/>
    <s v="cfs"/>
    <x v="0"/>
    <s v="Floating leaf"/>
  </r>
  <r>
    <x v="2"/>
    <s v="San Juan Creek"/>
    <n v="901.27"/>
    <x v="1"/>
    <s v="NA"/>
    <s v="Major MS4 Outfall"/>
    <s v="L01-727-3"/>
    <x v="0"/>
    <d v="2021-06-14T00:00:00"/>
    <x v="3"/>
    <s v="NA"/>
    <s v="NA"/>
    <s v="cfs"/>
    <x v="0"/>
    <m/>
  </r>
  <r>
    <x v="2"/>
    <s v="San Juan Creek"/>
    <n v="901.27"/>
    <x v="1"/>
    <s v="None - Flow Infiltrates or Outfall is Dry"/>
    <s v="Major MS4 Outfall"/>
    <s v="L01-727-2"/>
    <x v="0"/>
    <d v="2021-06-14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2"/>
    <x v="0"/>
    <d v="2021-06-14T00:00:00"/>
    <x v="3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8-6"/>
    <x v="0"/>
    <d v="2021-06-14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9"/>
    <x v="0"/>
    <d v="2021-06-14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8d"/>
    <x v="0"/>
    <d v="2021-07-01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517-6"/>
    <x v="0"/>
    <d v="2021-08-12T00:00:00"/>
    <x v="1"/>
    <s v="Undetermined"/>
    <n v="0.06"/>
    <s v="cfs"/>
    <x v="0"/>
    <s v="Floating leaf"/>
  </r>
  <r>
    <x v="0"/>
    <s v="San Juan Creek"/>
    <n v="901.27"/>
    <x v="0"/>
    <m/>
    <s v="Major MS4 Outfall"/>
    <s v="L01-494-1"/>
    <x v="0"/>
    <d v="2021-08-12T00:00:00"/>
    <x v="1"/>
    <s v="Partial - Significant Distance"/>
    <n v="8.0249999999999991E-3"/>
    <s v="cfs"/>
    <x v="0"/>
    <s v="Floating leaf"/>
  </r>
  <r>
    <x v="0"/>
    <s v="San Juan Creek"/>
    <n v="901.27"/>
    <x v="0"/>
    <m/>
    <s v="Major MS4 Outfall"/>
    <s v="L01-514-1"/>
    <x v="0"/>
    <d v="2021-08-12T00:00:00"/>
    <x v="1"/>
    <s v="Undetermined"/>
    <s v="NA"/>
    <s v="cfs"/>
    <x v="0"/>
    <m/>
  </r>
  <r>
    <x v="0"/>
    <s v="San Juan Creek"/>
    <n v="901.27"/>
    <x v="0"/>
    <m/>
    <s v="Major MS4 Outfall"/>
    <s v="L01-517-3"/>
    <x v="0"/>
    <d v="2021-08-12T00:00:00"/>
    <x v="1"/>
    <s v="NA"/>
    <n v="1.4E-2"/>
    <s v="cfs"/>
    <x v="0"/>
    <s v="Floating leaf"/>
  </r>
  <r>
    <x v="0"/>
    <s v="San Juan Creek"/>
    <n v="901.27"/>
    <x v="0"/>
    <m/>
    <s v="Major MS4 Outfall"/>
    <s v="L01-517-3"/>
    <x v="0"/>
    <d v="2021-08-12T00:00:00"/>
    <x v="1"/>
    <s v="NA"/>
    <n v="1.4E-2"/>
    <s v="cfs"/>
    <x v="0"/>
    <s v="Floating leaf"/>
  </r>
  <r>
    <x v="0"/>
    <s v="San Juan Creek"/>
    <n v="901.27"/>
    <x v="0"/>
    <m/>
    <s v="Major MS4 Outfall"/>
    <s v="L01-458-1"/>
    <x v="0"/>
    <d v="2021-08-12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3"/>
    <x v="0"/>
    <d v="2021-08-16T00:00:00"/>
    <x v="3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2"/>
    <x v="0"/>
    <d v="2021-08-16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8-6"/>
    <x v="0"/>
    <d v="2021-08-16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9"/>
    <x v="0"/>
    <d v="2021-08-1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8"/>
    <x v="0"/>
    <d v="2021-09-01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0"/>
    <d v="2021-09-01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0"/>
    <d v="2021-09-0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2 (L01S06)"/>
    <x v="0"/>
    <d v="2021-09-01T00:00:00"/>
    <x v="1"/>
    <s v="None - Flow Infiltrates or Outfall is Dry"/>
    <n v="8.6400000000000005E-2"/>
    <s v="cfs"/>
    <x v="0"/>
    <s v="Floating leaf"/>
  </r>
  <r>
    <x v="1"/>
    <s v="San Juan Creek"/>
    <n v="901.27"/>
    <x v="0"/>
    <m/>
    <s v="Major MS4 Outfall"/>
    <s v="L01-766-4"/>
    <x v="0"/>
    <d v="2021-09-01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66-5"/>
    <x v="0"/>
    <d v="2021-09-0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7"/>
    <x v="0"/>
    <d v="2021-09-01T00:00:00"/>
    <x v="0"/>
    <s v="None - Flow Infiltrates or Outfall is Dry"/>
    <s v="NA"/>
    <s v="cfs"/>
    <x v="0"/>
    <m/>
  </r>
  <r>
    <x v="2"/>
    <s v="San Juan Creek"/>
    <n v="901.27"/>
    <x v="1"/>
    <s v="Partial - Significant Distance"/>
    <s v="Major MS4 Outfall"/>
    <s v="L01-728-3 (L01S02)"/>
    <x v="0"/>
    <d v="2021-09-01T00:00:00"/>
    <x v="1"/>
    <s v="Partial - Significant Distance"/>
    <n v="0.179455"/>
    <s v="cfs"/>
    <x v="0"/>
    <s v="Floating leaf"/>
  </r>
  <r>
    <x v="2"/>
    <s v="San Juan Creek"/>
    <n v="901.27"/>
    <x v="1"/>
    <s v="None - Flow Infiltrates or Outfall is Dry"/>
    <s v="Major MS4 Outfall"/>
    <s v="L01-728-4"/>
    <x v="0"/>
    <d v="2021-09-01T00:00:00"/>
    <x v="0"/>
    <s v="None - Flow Infiltrates or Outfall is Dry"/>
    <s v="NA"/>
    <s v="cfs"/>
    <x v="0"/>
    <m/>
  </r>
  <r>
    <x v="2"/>
    <s v="San Juan Creek"/>
    <n v="901.27"/>
    <x v="1"/>
    <s v="Partial - Significant Distance"/>
    <s v="Major MS4 Outfall"/>
    <s v="L01-728-5 (L01-DP)"/>
    <x v="0"/>
    <d v="2021-09-01T00:00:00"/>
    <x v="1"/>
    <s v="Partial - Significant Distance"/>
    <n v="1.5900000000000001E-3"/>
    <s v="cfs"/>
    <x v="0"/>
    <s v="Floating leaf"/>
  </r>
  <r>
    <x v="2"/>
    <s v="San Juan Creek"/>
    <n v="901.27"/>
    <x v="2"/>
    <s v="None - Flow Infiltrates or Outfall is Dry"/>
    <s v="Major MS4 Outfall"/>
    <s v="L01-728-8d"/>
    <x v="0"/>
    <d v="2021-09-0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2d"/>
    <x v="0"/>
    <d v="2021-09-08T00:00:00"/>
    <x v="2"/>
    <s v="Undetermined"/>
    <s v="NA"/>
    <s v="cfs"/>
    <x v="0"/>
    <m/>
  </r>
  <r>
    <x v="1"/>
    <s v="San Juan Creek"/>
    <n v="901.27"/>
    <x v="0"/>
    <m/>
    <s v="Major MS4 Outfall"/>
    <s v="L01-749-3"/>
    <x v="0"/>
    <d v="2021-09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2"/>
    <x v="0"/>
    <d v="2021-09-08T00:00:00"/>
    <x v="2"/>
    <s v="Partial - Significant Distance"/>
    <s v="NA"/>
    <s v="cfs"/>
    <x v="0"/>
    <m/>
  </r>
  <r>
    <x v="1"/>
    <s v="San Juan Creek"/>
    <n v="901.27"/>
    <x v="0"/>
    <m/>
    <s v="Major MS4 Outfall"/>
    <s v="L01-618-5 (L01S09)"/>
    <x v="0"/>
    <d v="2021-09-08T00:00:00"/>
    <x v="2"/>
    <s v="Direct Connection"/>
    <s v="NA"/>
    <s v="cfs"/>
    <x v="0"/>
    <m/>
  </r>
  <r>
    <x v="1"/>
    <s v="San Juan Creek"/>
    <n v="901.27"/>
    <x v="0"/>
    <m/>
    <s v="Major MS4 Outfall"/>
    <s v="L01-749-5"/>
    <x v="0"/>
    <d v="2021-09-08T00:00:00"/>
    <x v="2"/>
    <s v="Undetermined"/>
    <s v="NA"/>
    <s v="cfs"/>
    <x v="0"/>
    <m/>
  </r>
  <r>
    <x v="1"/>
    <s v="San Juan Creek"/>
    <n v="901.27"/>
    <x v="0"/>
    <m/>
    <s v="Major MS4 Outfall"/>
    <s v="L01-618-3"/>
    <x v="0"/>
    <d v="2021-09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1"/>
    <x v="0"/>
    <d v="2021-09-08T00:00:00"/>
    <x v="2"/>
    <s v="Partial - Significant Distance"/>
    <s v="NA"/>
    <s v="cfs"/>
    <x v="0"/>
    <m/>
  </r>
  <r>
    <x v="1"/>
    <s v="San Juan Creek"/>
    <n v="901.27"/>
    <x v="0"/>
    <m/>
    <s v="Major MS4 Outfall"/>
    <s v="L01-724-2"/>
    <x v="0"/>
    <d v="2021-09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4-1 (L01S01)"/>
    <x v="0"/>
    <d v="2021-09-08T00:00:00"/>
    <x v="1"/>
    <s v="Direct Connection"/>
    <n v="0.129496"/>
    <s v="cfs"/>
    <x v="0"/>
    <s v="Floating leaf"/>
  </r>
  <r>
    <x v="1"/>
    <s v="San Juan Creek"/>
    <n v="901.27"/>
    <x v="0"/>
    <m/>
    <s v="Major MS4 Outfall"/>
    <s v="L01-724-1 (L01S01)"/>
    <x v="0"/>
    <d v="2021-09-08T00:00:00"/>
    <x v="1"/>
    <s v="Direct Connection"/>
    <n v="0.129496"/>
    <s v="cfs"/>
    <x v="0"/>
    <s v="Floating leaf"/>
  </r>
  <r>
    <x v="1"/>
    <s v="San Juan Creek"/>
    <n v="901.27"/>
    <x v="0"/>
    <m/>
    <s v="Major MS4 Outfall"/>
    <s v="L01-724-1 (L01S01)"/>
    <x v="0"/>
    <d v="2021-09-08T00:00:00"/>
    <x v="1"/>
    <s v="Direct Connection"/>
    <n v="0.129496"/>
    <s v="cfs"/>
    <x v="0"/>
    <s v="Floating leaf"/>
  </r>
  <r>
    <x v="1"/>
    <s v="San Juan Creek"/>
    <n v="901.27"/>
    <x v="0"/>
    <m/>
    <s v="Major MS4 Outfall"/>
    <s v="L01-766-9"/>
    <x v="0"/>
    <d v="2021-09-08T00:00:00"/>
    <x v="1"/>
    <s v="Partial - Significant Distance"/>
    <n v="0.1"/>
    <s v="cfs"/>
    <x v="0"/>
    <s v="Floating leaf"/>
  </r>
  <r>
    <x v="1"/>
    <s v="San Juan Creek"/>
    <n v="901.27"/>
    <x v="0"/>
    <m/>
    <s v="Major MS4 Outfall"/>
    <s v="L01-726-8"/>
    <x v="0"/>
    <d v="2021-09-08T00:00:00"/>
    <x v="3"/>
    <s v="Direct Connection"/>
    <s v="NA"/>
    <s v="cfs"/>
    <x v="0"/>
    <m/>
  </r>
  <r>
    <x v="1"/>
    <s v="San Juan Creek"/>
    <n v="901.27"/>
    <x v="0"/>
    <m/>
    <s v="Major MS4 Outfall"/>
    <s v="L01-618-1"/>
    <x v="0"/>
    <d v="2021-09-08T00:00:00"/>
    <x v="2"/>
    <s v="Undetermined"/>
    <s v="NA"/>
    <s v="cfs"/>
    <x v="0"/>
    <m/>
  </r>
  <r>
    <x v="1"/>
    <s v="San Juan Creek"/>
    <n v="901.27"/>
    <x v="0"/>
    <m/>
    <s v="Major MS4 Outfall"/>
    <s v="L01-747-1"/>
    <x v="0"/>
    <d v="2021-09-08T00:00:00"/>
    <x v="2"/>
    <s v="Partial - Significant Distance"/>
    <s v="NA"/>
    <s v="cfs"/>
    <x v="0"/>
    <m/>
  </r>
  <r>
    <x v="1"/>
    <s v="San Juan Creek"/>
    <n v="901.27"/>
    <x v="0"/>
    <m/>
    <s v="Major MS4 Outfall"/>
    <s v="L01-556-1"/>
    <x v="0"/>
    <d v="2021-09-08T00:00:00"/>
    <x v="1"/>
    <s v="Partial - Significant Distance"/>
    <n v="2.6670000000000001E-3"/>
    <s v="cfs"/>
    <x v="0"/>
    <s v="Floating leaf"/>
  </r>
  <r>
    <x v="1"/>
    <s v="San Juan Creek"/>
    <n v="901.27"/>
    <x v="0"/>
    <m/>
    <s v="Major MS4 Outfall"/>
    <s v="L01-766-3"/>
    <x v="0"/>
    <d v="2021-09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4-4 (L01P03)"/>
    <x v="0"/>
    <d v="2021-09-08T00:00:00"/>
    <x v="1"/>
    <s v="Direct Connection"/>
    <n v="8.5999999999999993E-2"/>
    <s v="cfs"/>
    <x v="0"/>
    <s v="Volumetric"/>
  </r>
  <r>
    <x v="1"/>
    <s v="San Juan Creek"/>
    <n v="901.27"/>
    <x v="0"/>
    <m/>
    <s v="Major MS4 Outfall"/>
    <s v="L01-724-4 (L01P03)"/>
    <x v="0"/>
    <d v="2021-09-08T00:00:00"/>
    <x v="1"/>
    <s v="Direct Connection"/>
    <n v="8.5999999999999993E-2"/>
    <s v="cfs"/>
    <x v="0"/>
    <s v="Volumetric"/>
  </r>
  <r>
    <x v="1"/>
    <s v="San Juan Creek"/>
    <n v="901.27"/>
    <x v="0"/>
    <m/>
    <s v="Major MS4 Outfall"/>
    <s v="L01-747-2"/>
    <x v="0"/>
    <d v="2021-09-08T00:00:00"/>
    <x v="1"/>
    <s v="Partial - Significant Distance"/>
    <n v="1.0999999999999999E-2"/>
    <s v="cfs"/>
    <x v="0"/>
    <s v="Floating leaf"/>
  </r>
  <r>
    <x v="1"/>
    <s v="San Juan Creek"/>
    <n v="901.27"/>
    <x v="0"/>
    <m/>
    <s v="Major MS4 Outfall"/>
    <s v="L01-747-2"/>
    <x v="0"/>
    <d v="2021-09-08T00:00:00"/>
    <x v="1"/>
    <s v="Partial - Significant Distance"/>
    <n v="1.0999999999999999E-2"/>
    <s v="cfs"/>
    <x v="0"/>
    <s v="Floating leaf"/>
  </r>
  <r>
    <x v="2"/>
    <s v="San Juan Creek"/>
    <n v="901.27"/>
    <x v="1"/>
    <s v="None - Flow Infiltrates or Outfall is Dry"/>
    <s v="Major MS4 Outfall"/>
    <s v="L01-726-2"/>
    <x v="0"/>
    <d v="2021-09-27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6-5"/>
    <x v="0"/>
    <d v="2021-09-27T00:00:00"/>
    <x v="1"/>
    <s v="Direct Connection"/>
    <n v="6.6670000000000002E-3"/>
    <s v="cfs"/>
    <x v="0"/>
    <s v="Floating leaf"/>
  </r>
  <r>
    <x v="2"/>
    <s v="San Juan Creek"/>
    <n v="901.27"/>
    <x v="1"/>
    <s v="Direct Connection"/>
    <s v="Major MS4 Outfall"/>
    <s v="L01-726-5"/>
    <x v="0"/>
    <d v="2021-09-27T00:00:00"/>
    <x v="1"/>
    <s v="Direct Connection"/>
    <n v="6.6670000000000002E-3"/>
    <s v="cfs"/>
    <x v="0"/>
    <s v="Floating leaf"/>
  </r>
  <r>
    <x v="0"/>
    <s v="San Juan Creek"/>
    <n v="901.27"/>
    <x v="0"/>
    <m/>
    <s v="Major MS4 Outfall"/>
    <s v="L01-517-6"/>
    <x v="1"/>
    <d v="2022-05-31T00:00:00"/>
    <x v="1"/>
    <s v="Undetermined"/>
    <n v="0.03"/>
    <s v="cfs"/>
    <x v="0"/>
    <s v="Floating leaf"/>
  </r>
  <r>
    <x v="0"/>
    <s v="San Juan Creek"/>
    <n v="901.27"/>
    <x v="0"/>
    <m/>
    <s v="Major MS4 Outfall"/>
    <s v="L01-517-7"/>
    <x v="1"/>
    <d v="2022-05-31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94-1"/>
    <x v="1"/>
    <d v="2022-05-31T00:00:00"/>
    <x v="1"/>
    <s v="Undetermined"/>
    <n v="0.1575"/>
    <s v="cfs"/>
    <x v="0"/>
    <s v="Floating leaf"/>
  </r>
  <r>
    <x v="0"/>
    <s v="San Juan Creek"/>
    <n v="901.27"/>
    <x v="0"/>
    <m/>
    <s v="Major MS4 Outfall"/>
    <s v="L01-517-3"/>
    <x v="1"/>
    <d v="2022-05-31T00:00:00"/>
    <x v="2"/>
    <s v="Undetermined"/>
    <s v="NA"/>
    <s v="cfs"/>
    <x v="0"/>
    <m/>
  </r>
  <r>
    <x v="0"/>
    <s v="San Juan Creek"/>
    <n v="901.27"/>
    <x v="0"/>
    <m/>
    <s v="Major MS4 Outfall"/>
    <s v="L01-517-3"/>
    <x v="1"/>
    <d v="2022-05-31T00:00:00"/>
    <x v="2"/>
    <s v="Undetermined"/>
    <s v="NA"/>
    <s v="cfs"/>
    <x v="0"/>
    <m/>
  </r>
  <r>
    <x v="0"/>
    <s v="San Juan Creek"/>
    <n v="901.27"/>
    <x v="0"/>
    <m/>
    <s v="Major MS4 Outfall"/>
    <s v="L01-471-1"/>
    <x v="1"/>
    <d v="2022-05-31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58-1"/>
    <x v="1"/>
    <d v="2022-05-31T00:00:00"/>
    <x v="2"/>
    <s v="None - Flow Infiltrates or Outfall is Dry"/>
    <s v="NA"/>
    <s v="cfs"/>
    <x v="0"/>
    <m/>
  </r>
  <r>
    <x v="0"/>
    <s v="San Juan Creek"/>
    <n v="901.27"/>
    <x v="0"/>
    <m/>
    <s v="Major MS4 Outfall"/>
    <s v="L01-514-1"/>
    <x v="1"/>
    <d v="2022-06-17T00:00:00"/>
    <x v="2"/>
    <s v="Undetermined"/>
    <s v="NA"/>
    <s v="cfs"/>
    <x v="0"/>
    <m/>
  </r>
  <r>
    <x v="1"/>
    <s v="San Juan Creek"/>
    <n v="901.27"/>
    <x v="0"/>
    <m/>
    <s v="Major MS4 Outfall"/>
    <s v="L01-749-2d"/>
    <x v="1"/>
    <d v="2022-06-22T00:00:00"/>
    <x v="1"/>
    <s v="Undetermined"/>
    <n v="0.08"/>
    <s v="cfs"/>
    <x v="0"/>
    <s v="Floating leaf"/>
  </r>
  <r>
    <x v="1"/>
    <s v="San Juan Creek"/>
    <n v="901.27"/>
    <x v="0"/>
    <m/>
    <s v="Major MS4 Outfall"/>
    <s v="L01-724-1 (L01S01)"/>
    <x v="1"/>
    <d v="2022-06-22T00:00:00"/>
    <x v="1"/>
    <s v="Partial - Significant Distance"/>
    <n v="7.102E-2"/>
    <s v="cfs"/>
    <x v="0"/>
    <s v="Floating leaf"/>
  </r>
  <r>
    <x v="1"/>
    <s v="San Juan Creek"/>
    <n v="901.27"/>
    <x v="0"/>
    <m/>
    <s v="Major MS4 Outfall"/>
    <s v="L01-724-1 (L01S01)"/>
    <x v="1"/>
    <d v="2022-06-22T00:00:00"/>
    <x v="1"/>
    <s v="Partial - Significant Distance"/>
    <n v="7.102E-2"/>
    <s v="cfs"/>
    <x v="0"/>
    <s v="Floating leaf"/>
  </r>
  <r>
    <x v="1"/>
    <s v="San Juan Creek"/>
    <n v="901.27"/>
    <x v="0"/>
    <m/>
    <s v="Major MS4 Outfall"/>
    <s v="L01-724-1 (L01S01)"/>
    <x v="1"/>
    <d v="2022-06-22T00:00:00"/>
    <x v="1"/>
    <s v="Partial - Significant Distance"/>
    <n v="7.102E-2"/>
    <s v="cfs"/>
    <x v="0"/>
    <s v="Floating leaf"/>
  </r>
  <r>
    <x v="2"/>
    <s v="San Juan Creek"/>
    <n v="901.27"/>
    <x v="1"/>
    <s v="Direct Connection"/>
    <s v="Major MS4 Outfall"/>
    <s v="L01-726-5"/>
    <x v="1"/>
    <d v="2022-06-22T00:00:00"/>
    <x v="1"/>
    <s v="Direct Connection"/>
    <n v="1.5E-3"/>
    <s v="cfs"/>
    <x v="0"/>
    <s v="Floating leaf"/>
  </r>
  <r>
    <x v="2"/>
    <s v="San Juan Creek"/>
    <n v="901.27"/>
    <x v="1"/>
    <s v="Direct Connection"/>
    <s v="Major MS4 Outfall"/>
    <s v="L01-726-5"/>
    <x v="1"/>
    <d v="2022-06-22T00:00:00"/>
    <x v="1"/>
    <s v="Direct Connection"/>
    <n v="1.5E-3"/>
    <s v="cfs"/>
    <x v="0"/>
    <s v="Floating leaf"/>
  </r>
  <r>
    <x v="1"/>
    <s v="San Juan Creek"/>
    <n v="901.27"/>
    <x v="0"/>
    <m/>
    <s v="Major MS4 Outfall"/>
    <s v="L01-724-4 (L01P03)"/>
    <x v="1"/>
    <d v="2022-06-22T00:00:00"/>
    <x v="1"/>
    <s v="Direct Connection"/>
    <n v="9.2975000000000002E-2"/>
    <s v="cfs"/>
    <x v="0"/>
    <s v="Floating leaf"/>
  </r>
  <r>
    <x v="1"/>
    <s v="San Juan Creek"/>
    <n v="901.27"/>
    <x v="0"/>
    <m/>
    <s v="Major MS4 Outfall"/>
    <s v="L01-724-4 (L01P03)"/>
    <x v="1"/>
    <d v="2022-06-22T00:00:00"/>
    <x v="1"/>
    <s v="Direct Connection"/>
    <n v="9.2975000000000002E-2"/>
    <s v="cfs"/>
    <x v="0"/>
    <s v="Floating leaf"/>
  </r>
  <r>
    <x v="2"/>
    <s v="San Juan Creek"/>
    <n v="901.27"/>
    <x v="1"/>
    <s v="None - Flow Infiltrates or Outfall is Dry"/>
    <s v="Major MS4 Outfall"/>
    <s v="L01-728-5 (L01-DP)"/>
    <x v="1"/>
    <d v="2022-06-22T00:00:00"/>
    <x v="1"/>
    <s v="None - Flow Infiltrates or Outfall is Dry"/>
    <n v="8.0000000000000002E-3"/>
    <s v="cfs"/>
    <x v="0"/>
    <s v="Volumetric"/>
  </r>
  <r>
    <x v="1"/>
    <s v="San Juan Creek"/>
    <n v="901.27"/>
    <x v="0"/>
    <m/>
    <s v="Major MS4 Outfall"/>
    <s v="L01-766-8"/>
    <x v="1"/>
    <d v="2022-06-2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9"/>
    <x v="1"/>
    <d v="2022-06-28T00:00:00"/>
    <x v="2"/>
    <s v="Undetermined"/>
    <s v="NA"/>
    <s v="cfs"/>
    <x v="0"/>
    <m/>
  </r>
  <r>
    <x v="1"/>
    <s v="San Juan Creek"/>
    <n v="901.27"/>
    <x v="0"/>
    <m/>
    <s v="Major MS4 Outfall"/>
    <s v="L01-726-9"/>
    <x v="1"/>
    <d v="2022-06-2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8"/>
    <x v="1"/>
    <d v="2022-06-28T00:00:00"/>
    <x v="1"/>
    <s v="Partial - Significant Distance"/>
    <n v="5.7689999999999998E-3"/>
    <s v="cfs"/>
    <x v="0"/>
    <s v="Floating leaf"/>
  </r>
  <r>
    <x v="1"/>
    <s v="San Juan Creek"/>
    <n v="901.27"/>
    <x v="0"/>
    <m/>
    <s v="Major MS4 Outfall"/>
    <s v="L01-601-1"/>
    <x v="1"/>
    <d v="2022-06-2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7"/>
    <x v="1"/>
    <d v="2022-06-28T00:00:00"/>
    <x v="1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7-3"/>
    <x v="1"/>
    <d v="2022-07-12T00:00:00"/>
    <x v="2"/>
    <s v="Direct Connection"/>
    <s v="NA"/>
    <s v="cfs"/>
    <x v="0"/>
    <m/>
  </r>
  <r>
    <x v="2"/>
    <s v="San Juan Creek"/>
    <n v="901.27"/>
    <x v="1"/>
    <s v="None - Flow Infiltrates or Outfall is Dry"/>
    <s v="Major MS4 Outfall"/>
    <s v="L01-727-2"/>
    <x v="1"/>
    <d v="2022-07-12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1"/>
    <d v="2022-07-12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1"/>
    <d v="2022-07-12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8-3 (L01S02)"/>
    <x v="1"/>
    <d v="2022-07-12T00:00:00"/>
    <x v="1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8-4"/>
    <x v="1"/>
    <d v="2022-07-12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8-6"/>
    <x v="1"/>
    <d v="2022-07-12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8d"/>
    <x v="1"/>
    <d v="2022-07-12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9"/>
    <x v="1"/>
    <d v="2022-07-12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3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2"/>
    <x v="1"/>
    <d v="2022-07-13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618-2"/>
    <x v="1"/>
    <d v="2022-07-13T00:00:00"/>
    <x v="2"/>
    <s v="Undetermined"/>
    <s v="NA"/>
    <s v="cfs"/>
    <x v="0"/>
    <m/>
  </r>
  <r>
    <x v="1"/>
    <s v="San Juan Creek"/>
    <n v="901.27"/>
    <x v="0"/>
    <m/>
    <s v="Major MS4 Outfall"/>
    <s v="L01-618-5 (L01S09)"/>
    <x v="1"/>
    <d v="2022-07-13T00:00:00"/>
    <x v="2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1"/>
    <d v="2022-07-13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1"/>
    <d v="2022-07-13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3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5"/>
    <x v="1"/>
    <d v="2022-07-13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48-1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4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2 (L01S06)"/>
    <x v="1"/>
    <d v="2022-07-13T00:00:00"/>
    <x v="1"/>
    <s v="None - Flow Infiltrates or Outfall is Dry"/>
    <n v="1.6E-2"/>
    <s v="cfs"/>
    <x v="0"/>
    <s v="Volumetric"/>
  </r>
  <r>
    <x v="1"/>
    <s v="San Juan Creek"/>
    <n v="901.27"/>
    <x v="0"/>
    <m/>
    <s v="Major MS4 Outfall"/>
    <s v="L01-766-4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3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5"/>
    <x v="1"/>
    <d v="2022-07-13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2"/>
    <x v="1"/>
    <d v="2022-07-13T00:00:00"/>
    <x v="2"/>
    <s v="None - Flow Infiltrates or Outfall is Dry"/>
    <s v="NA"/>
    <s v="cfs"/>
    <x v="0"/>
    <m/>
  </r>
  <r>
    <x v="2"/>
    <s v="San Juan Creek"/>
    <n v="901.27"/>
    <x v="0"/>
    <m/>
    <s v="Major MS4 Outfall"/>
    <s v="L01-726-7"/>
    <x v="1"/>
    <d v="2022-07-13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1"/>
    <x v="1"/>
    <d v="2022-07-28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47-1"/>
    <x v="1"/>
    <d v="2022-07-28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556-1"/>
    <x v="1"/>
    <d v="2022-07-28T00:00:00"/>
    <x v="2"/>
    <s v="Undetermined"/>
    <s v="NA"/>
    <s v="cfs"/>
    <x v="0"/>
    <m/>
  </r>
  <r>
    <x v="1"/>
    <s v="San Juan Creek"/>
    <n v="901.27"/>
    <x v="0"/>
    <m/>
    <s v="Major MS4 Outfall"/>
    <s v="L01-747-2"/>
    <x v="1"/>
    <d v="2022-07-28T00:00:00"/>
    <x v="1"/>
    <s v="Undetermined"/>
    <n v="0.02"/>
    <s v="cfs"/>
    <x v="0"/>
    <s v="Volumetric"/>
  </r>
  <r>
    <x v="1"/>
    <s v="San Juan Creek"/>
    <n v="901.27"/>
    <x v="0"/>
    <m/>
    <s v="Major MS4 Outfall"/>
    <s v="L01-747-2"/>
    <x v="1"/>
    <d v="2022-07-28T00:00:00"/>
    <x v="1"/>
    <s v="Undetermined"/>
    <n v="0.02"/>
    <s v="cfs"/>
    <x v="0"/>
    <s v="Volumetric"/>
  </r>
  <r>
    <x v="1"/>
    <s v="San Juan Creek"/>
    <n v="901.27"/>
    <x v="0"/>
    <m/>
    <s v="Major MS4 Outfall"/>
    <s v="L01-749-2d"/>
    <x v="1"/>
    <d v="2022-08-10T00:00:00"/>
    <x v="2"/>
    <s v="Undetermined"/>
    <s v="NA"/>
    <s v="cfs"/>
    <x v="0"/>
    <m/>
  </r>
  <r>
    <x v="1"/>
    <s v="San Juan Creek"/>
    <n v="901.27"/>
    <x v="0"/>
    <m/>
    <s v="Major MS4 Outfall"/>
    <s v="L01-766-8"/>
    <x v="1"/>
    <d v="2022-08-1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3"/>
    <x v="1"/>
    <d v="2022-08-1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2"/>
    <x v="1"/>
    <d v="2022-08-10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618-2"/>
    <x v="1"/>
    <d v="2022-08-10T00:00:00"/>
    <x v="2"/>
    <s v="Undetermined"/>
    <s v="NA"/>
    <s v="cfs"/>
    <x v="0"/>
    <m/>
  </r>
  <r>
    <x v="1"/>
    <s v="San Juan Creek"/>
    <n v="901.27"/>
    <x v="0"/>
    <m/>
    <s v="Major MS4 Outfall"/>
    <s v="L01-618-5 (L01S09)"/>
    <x v="1"/>
    <d v="2022-08-10T00:00:00"/>
    <x v="1"/>
    <s v="Direct Connection"/>
    <n v="4.1009999999999996E-3"/>
    <s v="cfs"/>
    <x v="0"/>
    <s v="Floating leaf"/>
  </r>
  <r>
    <x v="1"/>
    <s v="San Juan Creek"/>
    <n v="901.27"/>
    <x v="0"/>
    <m/>
    <s v="Major MS4 Outfall"/>
    <s v="L01-618-3"/>
    <x v="1"/>
    <d v="2022-08-10T00:00:00"/>
    <x v="3"/>
    <s v="Undetermined"/>
    <s v="NA"/>
    <s v="cfs"/>
    <x v="0"/>
    <m/>
  </r>
  <r>
    <x v="1"/>
    <s v="San Juan Creek"/>
    <n v="901.27"/>
    <x v="0"/>
    <m/>
    <s v="Major MS4 Outfall"/>
    <s v="L01-748-1"/>
    <x v="1"/>
    <d v="2022-08-1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02-2"/>
    <x v="1"/>
    <d v="2022-08-10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618-4"/>
    <x v="1"/>
    <d v="2022-08-1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1"/>
    <x v="1"/>
    <d v="2022-08-10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66-2 (L01S06)"/>
    <x v="1"/>
    <d v="2022-08-10T00:00:00"/>
    <x v="1"/>
    <s v="None - Flow Infiltrates or Outfall is Dry"/>
    <n v="1.4E-2"/>
    <s v="cfs"/>
    <x v="0"/>
    <s v="Volumetric"/>
  </r>
  <r>
    <x v="1"/>
    <s v="San Juan Creek"/>
    <n v="901.27"/>
    <x v="0"/>
    <m/>
    <s v="Major MS4 Outfall"/>
    <s v="L01-747-1"/>
    <x v="1"/>
    <d v="2022-08-10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556-1"/>
    <x v="1"/>
    <d v="2022-08-10T00:00:00"/>
    <x v="1"/>
    <s v="Undetermined"/>
    <n v="1.1494000000000001E-2"/>
    <s v="cfs"/>
    <x v="0"/>
    <s v="Floating leaf"/>
  </r>
  <r>
    <x v="1"/>
    <s v="San Juan Creek"/>
    <n v="901.27"/>
    <x v="0"/>
    <m/>
    <s v="Major MS4 Outfall"/>
    <s v="L01-766-5"/>
    <x v="1"/>
    <d v="2022-08-10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7"/>
    <x v="1"/>
    <d v="2022-08-10T00:00:00"/>
    <x v="1"/>
    <s v="None - Flow Infiltrates or Outfall is Dry"/>
    <n v="2.6200000000000003E-4"/>
    <s v="cfs"/>
    <x v="0"/>
    <s v="Floating leaf"/>
  </r>
  <r>
    <x v="1"/>
    <s v="San Juan Creek"/>
    <n v="901.27"/>
    <x v="0"/>
    <m/>
    <s v="Major MS4 Outfall"/>
    <s v="L01-747-2"/>
    <x v="1"/>
    <d v="2022-08-10T00:00:00"/>
    <x v="2"/>
    <s v="Partial - Significant Distance"/>
    <s v="NA"/>
    <s v="cfs"/>
    <x v="0"/>
    <m/>
  </r>
  <r>
    <x v="1"/>
    <s v="San Juan Creek"/>
    <n v="901.27"/>
    <x v="0"/>
    <m/>
    <s v="Major MS4 Outfall"/>
    <s v="L01-747-2"/>
    <x v="1"/>
    <d v="2022-08-10T00:00:00"/>
    <x v="2"/>
    <s v="Partial - Significant Distance"/>
    <s v="NA"/>
    <s v="cfs"/>
    <x v="0"/>
    <m/>
  </r>
  <r>
    <x v="1"/>
    <s v="San Juan Creek"/>
    <n v="901.27"/>
    <x v="0"/>
    <m/>
    <s v="Major MS4 Outfall"/>
    <s v="L01-749-5"/>
    <x v="1"/>
    <d v="2022-08-11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4"/>
    <x v="1"/>
    <d v="2022-08-11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2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3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1 (L01S04)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2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6-5"/>
    <x v="1"/>
    <d v="2022-08-29T00:00:00"/>
    <x v="1"/>
    <s v="Direct Connection"/>
    <n v="1.0999999999999999E-2"/>
    <s v="cfs"/>
    <x v="0"/>
    <s v="Volumetric"/>
  </r>
  <r>
    <x v="2"/>
    <s v="San Juan Creek"/>
    <n v="901.27"/>
    <x v="1"/>
    <s v="Direct Connection"/>
    <s v="Major MS4 Outfall"/>
    <s v="L01-726-5"/>
    <x v="1"/>
    <d v="2022-08-29T00:00:00"/>
    <x v="1"/>
    <s v="Direct Connection"/>
    <n v="1.0999999999999999E-2"/>
    <s v="cfs"/>
    <x v="0"/>
    <s v="Volumetric"/>
  </r>
  <r>
    <x v="2"/>
    <s v="San Juan Creek"/>
    <n v="901.27"/>
    <x v="0"/>
    <m/>
    <s v="Major MS4 Outfall"/>
    <s v="L01-726-7"/>
    <x v="1"/>
    <d v="2022-08-29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8-3 (L01S02)"/>
    <x v="1"/>
    <d v="2022-08-29T00:00:00"/>
    <x v="1"/>
    <s v="Direct Connection"/>
    <n v="1.7000000000000001E-2"/>
    <s v="cfs"/>
    <x v="0"/>
    <s v="Volumetric"/>
  </r>
  <r>
    <x v="2"/>
    <s v="San Juan Creek"/>
    <n v="901.27"/>
    <x v="1"/>
    <s v="None - Flow Infiltrates or Outfall is Dry"/>
    <s v="Major MS4 Outfall"/>
    <s v="L01-728-6"/>
    <x v="1"/>
    <d v="2022-08-29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9"/>
    <x v="1"/>
    <d v="2022-08-29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2d"/>
    <x v="1"/>
    <d v="2022-09-06T00:00:00"/>
    <x v="2"/>
    <s v="Undetermined"/>
    <s v="NA"/>
    <s v="cfs"/>
    <x v="0"/>
    <m/>
  </r>
  <r>
    <x v="1"/>
    <s v="San Juan Creek"/>
    <n v="901.27"/>
    <x v="0"/>
    <m/>
    <s v="Major MS4 Outfall"/>
    <s v="L01-749-2d"/>
    <x v="1"/>
    <d v="2022-09-06T00:00:00"/>
    <x v="1"/>
    <s v="Undetermined"/>
    <n v="8.3504999999999996E-2"/>
    <s v="cfs"/>
    <x v="0"/>
    <s v="Floating leaf"/>
  </r>
  <r>
    <x v="1"/>
    <s v="San Juan Creek"/>
    <n v="901.27"/>
    <x v="0"/>
    <m/>
    <s v="Major MS4 Outfall"/>
    <s v="L01-724-2"/>
    <x v="1"/>
    <d v="2022-09-0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4-1 (L01S01)"/>
    <x v="1"/>
    <d v="2022-09-06T00:00:00"/>
    <x v="1"/>
    <s v="Partial - Significant Distance"/>
    <n v="0.1188"/>
    <s v="cfs"/>
    <x v="0"/>
    <s v="Floating leaf"/>
  </r>
  <r>
    <x v="1"/>
    <s v="San Juan Creek"/>
    <n v="901.27"/>
    <x v="0"/>
    <m/>
    <s v="Major MS4 Outfall"/>
    <s v="L01-724-1 (L01S01)"/>
    <x v="1"/>
    <d v="2022-09-06T00:00:00"/>
    <x v="1"/>
    <s v="Partial - Significant Distance"/>
    <n v="0.1188"/>
    <s v="cfs"/>
    <x v="0"/>
    <s v="Floating leaf"/>
  </r>
  <r>
    <x v="1"/>
    <s v="San Juan Creek"/>
    <n v="901.27"/>
    <x v="0"/>
    <m/>
    <s v="Major MS4 Outfall"/>
    <s v="L01-724-1 (L01S01)"/>
    <x v="1"/>
    <d v="2022-09-06T00:00:00"/>
    <x v="1"/>
    <s v="Partial - Significant Distance"/>
    <n v="0.1188"/>
    <s v="cfs"/>
    <x v="0"/>
    <s v="Floating leaf"/>
  </r>
  <r>
    <x v="1"/>
    <s v="San Juan Creek"/>
    <n v="901.27"/>
    <x v="0"/>
    <m/>
    <s v="Major MS4 Outfall"/>
    <s v="L01-766-9"/>
    <x v="1"/>
    <d v="2022-09-06T00:00:00"/>
    <x v="2"/>
    <s v="Undetermined"/>
    <s v="NA"/>
    <s v="cfs"/>
    <x v="0"/>
    <m/>
  </r>
  <r>
    <x v="1"/>
    <s v="San Juan Creek"/>
    <n v="901.27"/>
    <x v="0"/>
    <m/>
    <s v="Major MS4 Outfall"/>
    <s v="L01-724-4 (L01P03)"/>
    <x v="1"/>
    <d v="2022-09-06T00:00:00"/>
    <x v="1"/>
    <s v="Direct Connection"/>
    <n v="0.08"/>
    <s v="cfs"/>
    <x v="0"/>
    <s v="Floating leaf"/>
  </r>
  <r>
    <x v="1"/>
    <s v="San Juan Creek"/>
    <n v="901.27"/>
    <x v="0"/>
    <m/>
    <s v="Major MS4 Outfall"/>
    <s v="L01-724-4 (L01P03)"/>
    <x v="1"/>
    <d v="2022-09-06T00:00:00"/>
    <x v="1"/>
    <s v="Direct Connection"/>
    <n v="0.08"/>
    <s v="cfs"/>
    <x v="0"/>
    <s v="Floating leaf"/>
  </r>
  <r>
    <x v="2"/>
    <s v="San Juan Creek"/>
    <n v="901.27"/>
    <x v="1"/>
    <s v="Direct Connection"/>
    <s v="Major MS4 Outfall"/>
    <s v="L01-726-5"/>
    <x v="1"/>
    <d v="2022-09-07T00:00:00"/>
    <x v="1"/>
    <s v="Direct Connection"/>
    <n v="4.0000000000000001E-3"/>
    <s v="cfs"/>
    <x v="0"/>
    <s v="Volumetric"/>
  </r>
  <r>
    <x v="2"/>
    <s v="San Juan Creek"/>
    <n v="901.27"/>
    <x v="1"/>
    <s v="Direct Connection"/>
    <s v="Major MS4 Outfall"/>
    <s v="L01-726-5"/>
    <x v="1"/>
    <d v="2022-09-07T00:00:00"/>
    <x v="1"/>
    <s v="Direct Connection"/>
    <n v="4.0000000000000001E-3"/>
    <s v="cfs"/>
    <x v="0"/>
    <s v="Volumetric"/>
  </r>
  <r>
    <x v="2"/>
    <s v="San Juan Creek"/>
    <n v="901.27"/>
    <x v="1"/>
    <s v="None - Flow Infiltrates or Outfall is Dry"/>
    <s v="Major MS4 Outfall"/>
    <s v="L01-728-5 (L01-DP)"/>
    <x v="1"/>
    <d v="2022-09-07T00:00:00"/>
    <x v="1"/>
    <s v="None - Flow Infiltrates or Outfall is Dry"/>
    <n v="1.0999999999999999E-2"/>
    <s v="cfs"/>
    <x v="0"/>
    <s v="Volumetric"/>
  </r>
  <r>
    <x v="2"/>
    <s v="San Juan Creek"/>
    <n v="901.27"/>
    <x v="1"/>
    <s v="None - Flow Infiltrates or Outfall is Dry"/>
    <s v="Major MS4 Outfall"/>
    <s v="L01-727-3"/>
    <x v="1"/>
    <d v="2022-09-14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26-9"/>
    <x v="1"/>
    <d v="2022-09-14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8"/>
    <x v="1"/>
    <d v="2022-09-14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601-1"/>
    <x v="1"/>
    <d v="2022-09-14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8-4"/>
    <x v="1"/>
    <d v="2022-09-14T00:00:00"/>
    <x v="1"/>
    <s v="None - Flow Infiltrates or Outfall is Dry"/>
    <n v="2.1000000000000001E-2"/>
    <s v="cfs"/>
    <x v="0"/>
    <s v="Floating leaf"/>
  </r>
  <r>
    <x v="0"/>
    <s v="San Juan Creek"/>
    <n v="901.27"/>
    <x v="0"/>
    <m/>
    <s v="Major MS4 Outfall"/>
    <s v="L01-514-1"/>
    <x v="1"/>
    <d v="2022-09-23T00:00:00"/>
    <x v="1"/>
    <s v="Undetermined"/>
    <n v="4.7999999999999996E-3"/>
    <s v="cfs"/>
    <x v="0"/>
    <s v="Floating leaf"/>
  </r>
  <r>
    <x v="2"/>
    <s v="San Juan Creek"/>
    <n v="901.27"/>
    <x v="2"/>
    <s v="None - Flow Infiltrates or Outfall is Dry"/>
    <s v="Major MS4 Outfall"/>
    <s v="L01-728-8d"/>
    <x v="1"/>
    <d v="2022-09-23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517-6"/>
    <x v="1"/>
    <d v="2022-09-27T00:00:00"/>
    <x v="1"/>
    <s v="Undetermined"/>
    <n v="7.0000000000000001E-3"/>
    <s v="cfs"/>
    <x v="0"/>
    <s v="Volumetric"/>
  </r>
  <r>
    <x v="0"/>
    <s v="San Juan Creek"/>
    <n v="901.27"/>
    <x v="0"/>
    <m/>
    <s v="Major MS4 Outfall"/>
    <s v="L01-517-7"/>
    <x v="1"/>
    <d v="2022-09-27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94-1"/>
    <x v="1"/>
    <d v="2022-09-27T00:00:00"/>
    <x v="1"/>
    <s v="None - Flow Infiltrates or Outfall is Dry"/>
    <n v="2.1999999999999999E-2"/>
    <s v="cfs"/>
    <x v="0"/>
    <s v="Volumetric"/>
  </r>
  <r>
    <x v="0"/>
    <s v="San Juan Creek"/>
    <n v="901.27"/>
    <x v="0"/>
    <m/>
    <s v="Major MS4 Outfall"/>
    <s v="L01-517-3"/>
    <x v="1"/>
    <d v="2022-09-27T00:00:00"/>
    <x v="2"/>
    <s v="None - Flow Infiltrates or Outfall is Dry"/>
    <s v="NA"/>
    <s v="cfs"/>
    <x v="0"/>
    <m/>
  </r>
  <r>
    <x v="0"/>
    <s v="San Juan Creek"/>
    <n v="901.27"/>
    <x v="0"/>
    <m/>
    <s v="Major MS4 Outfall"/>
    <s v="L01-517-3"/>
    <x v="1"/>
    <d v="2022-09-27T00:00:00"/>
    <x v="2"/>
    <s v="None - Flow Infiltrates or Outfall is Dry"/>
    <s v="NA"/>
    <s v="cfs"/>
    <x v="0"/>
    <m/>
  </r>
  <r>
    <x v="0"/>
    <s v="San Juan Creek"/>
    <n v="901.27"/>
    <x v="0"/>
    <m/>
    <s v="Major MS4 Outfall"/>
    <s v="L01-471-1"/>
    <x v="1"/>
    <d v="2022-09-27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58-1"/>
    <x v="1"/>
    <d v="2022-09-27T00:00:00"/>
    <x v="1"/>
    <s v="None - Flow Infiltrates or Outfall is Dry"/>
    <n v="0"/>
    <s v="cfs"/>
    <x v="0"/>
    <s v="Volumetric"/>
  </r>
  <r>
    <x v="1"/>
    <s v="San Juan Creek"/>
    <n v="901.27"/>
    <x v="0"/>
    <m/>
    <s v="Major MS4 Outfall"/>
    <s v="L01-766-3"/>
    <x v="1"/>
    <d v="2022-09-28T00:00:00"/>
    <x v="1"/>
    <s v="Direct Connection"/>
    <n v="6.0000000000000001E-3"/>
    <s v="cfs"/>
    <x v="0"/>
    <s v="Volumetric"/>
  </r>
  <r>
    <x v="2"/>
    <s v="San Juan Creek"/>
    <n v="901.27"/>
    <x v="1"/>
    <s v="NA"/>
    <s v="Major MS4 Outfall"/>
    <s v="L01-727-2"/>
    <x v="2"/>
    <d v="2023-05-09T00:00:00"/>
    <x v="0"/>
    <s v="NA"/>
    <s v="NA"/>
    <s v="cfs"/>
    <x v="0"/>
    <m/>
  </r>
  <r>
    <x v="2"/>
    <s v="San Juan Creek"/>
    <n v="901.27"/>
    <x v="1"/>
    <s v="Direct Connection"/>
    <s v="Major MS4 Outfall"/>
    <s v="L01-727-1 (L01S04)"/>
    <x v="2"/>
    <d v="2023-05-09T00:00:00"/>
    <x v="1"/>
    <s v="Direct Connection"/>
    <n v="0.17734900000000001"/>
    <s v="cfs"/>
    <x v="0"/>
    <s v="Floating leaf"/>
  </r>
  <r>
    <x v="2"/>
    <s v="San Juan Creek"/>
    <n v="901.27"/>
    <x v="1"/>
    <s v="Direct Connection"/>
    <s v="Major MS4 Outfall"/>
    <s v="L01-727-1 (L01S04)"/>
    <x v="2"/>
    <d v="2023-05-09T00:00:00"/>
    <x v="1"/>
    <s v="Direct Connection"/>
    <n v="0.17734900000000001"/>
    <s v="cfs"/>
    <x v="0"/>
    <s v="Floating leaf"/>
  </r>
  <r>
    <x v="2"/>
    <s v="San Juan Creek"/>
    <n v="901.27"/>
    <x v="1"/>
    <s v="Direct Connection"/>
    <s v="Major MS4 Outfall"/>
    <s v="L01-728-5 (L01-DP)"/>
    <x v="2"/>
    <d v="2023-05-09T00:00:00"/>
    <x v="1"/>
    <s v="Direct Connection"/>
    <n v="1.9047999999999999E-2"/>
    <s v="cfs"/>
    <x v="0"/>
    <s v="Floating leaf"/>
  </r>
  <r>
    <x v="2"/>
    <s v="San Juan Creek"/>
    <n v="901.27"/>
    <x v="2"/>
    <s v="NA"/>
    <s v="Major MS4 Outfall"/>
    <s v="L01-728-9"/>
    <x v="2"/>
    <d v="2023-05-09T00:00:00"/>
    <x v="0"/>
    <s v="NA"/>
    <s v="NA"/>
    <s v="cfs"/>
    <x v="0"/>
    <m/>
  </r>
  <r>
    <x v="2"/>
    <s v="San Juan Creek"/>
    <n v="901.27"/>
    <x v="1"/>
    <s v="Direct Connection"/>
    <s v="Major MS4 Outfall"/>
    <s v="L01-727-3"/>
    <x v="2"/>
    <d v="2023-05-15T00:00:00"/>
    <x v="1"/>
    <s v="Direct Connection"/>
    <s v="NA"/>
    <s v="cfs"/>
    <x v="0"/>
    <m/>
  </r>
  <r>
    <x v="2"/>
    <s v="San Juan Creek"/>
    <n v="901.27"/>
    <x v="1"/>
    <s v="Direct Connection"/>
    <s v="Major MS4 Outfall"/>
    <s v="L01-728-3 (L01S02)"/>
    <x v="2"/>
    <d v="2023-05-15T00:00:00"/>
    <x v="1"/>
    <s v="Direct Connection"/>
    <n v="0.45751599999999998"/>
    <s v="cfs"/>
    <x v="0"/>
    <s v="Floating leaf"/>
  </r>
  <r>
    <x v="2"/>
    <s v="San Juan Creek"/>
    <n v="901.27"/>
    <x v="1"/>
    <s v="None - Flow Infiltrates or Outfall is Dry"/>
    <s v="Major MS4 Outfall"/>
    <s v="L01-728-6"/>
    <x v="2"/>
    <d v="2023-05-15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5 (L01S09)"/>
    <x v="2"/>
    <d v="2023-05-19T00:00:00"/>
    <x v="1"/>
    <s v="Direct Connection"/>
    <n v="1.4117649999999999"/>
    <s v="cfs"/>
    <x v="0"/>
    <s v="Floating leaf"/>
  </r>
  <r>
    <x v="1"/>
    <s v="San Juan Creek"/>
    <n v="901.27"/>
    <x v="0"/>
    <m/>
    <s v="Major MS4 Outfall"/>
    <s v="L01-618-3"/>
    <x v="2"/>
    <d v="2023-05-19T00:00:00"/>
    <x v="3"/>
    <s v="None - Flow Infiltrates or Outfall is Dry"/>
    <s v="NA"/>
    <s v="cfs"/>
    <x v="0"/>
    <m/>
  </r>
  <r>
    <x v="1"/>
    <s v="San Juan Creek"/>
    <n v="901.27"/>
    <x v="0"/>
    <m/>
    <s v="Major MS4 Outfall"/>
    <s v="L01-618-4"/>
    <x v="2"/>
    <d v="2023-05-19T00:00:00"/>
    <x v="2"/>
    <s v="None - Flow Infiltrates or Outfall is Dry"/>
    <s v="NA"/>
    <s v="cfs"/>
    <x v="0"/>
    <m/>
  </r>
  <r>
    <x v="2"/>
    <s v="San Juan Creek"/>
    <n v="901.27"/>
    <x v="2"/>
    <s v="NA"/>
    <s v="Major MS4 Outfall"/>
    <s v="L01-728-8d"/>
    <x v="2"/>
    <d v="2023-05-25T00:00:00"/>
    <x v="0"/>
    <s v="NA"/>
    <s v="NA"/>
    <s v="cfs"/>
    <x v="0"/>
    <m/>
  </r>
  <r>
    <x v="0"/>
    <s v="San Juan Creek"/>
    <n v="901.27"/>
    <x v="0"/>
    <m/>
    <s v="Major MS4 Outfall"/>
    <s v="L01-517-6"/>
    <x v="2"/>
    <d v="2023-05-30T00:00:00"/>
    <x v="4"/>
    <s v="Undetermined"/>
    <s v="NA"/>
    <s v="cfs"/>
    <x v="0"/>
    <m/>
  </r>
  <r>
    <x v="0"/>
    <s v="San Juan Creek"/>
    <n v="901.27"/>
    <x v="0"/>
    <m/>
    <s v="Major MS4 Outfall"/>
    <s v="L01-517-7"/>
    <x v="2"/>
    <d v="2023-05-30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494-1"/>
    <x v="2"/>
    <d v="2023-05-30T00:00:00"/>
    <x v="1"/>
    <s v="Unsafe to Access"/>
    <s v="NA"/>
    <s v="cfs"/>
    <x v="0"/>
    <m/>
  </r>
  <r>
    <x v="0"/>
    <s v="San Juan Creek"/>
    <n v="901.27"/>
    <x v="0"/>
    <m/>
    <s v="Major MS4 Outfall"/>
    <s v="L01-514-1"/>
    <x v="2"/>
    <d v="2023-05-30T00:00:00"/>
    <x v="1"/>
    <s v="Undetermined"/>
    <s v="NA"/>
    <s v="cfs"/>
    <x v="0"/>
    <m/>
  </r>
  <r>
    <x v="0"/>
    <s v="San Juan Creek"/>
    <n v="901.27"/>
    <x v="0"/>
    <m/>
    <s v="Major MS4 Outfall"/>
    <s v="L01-517-3"/>
    <x v="2"/>
    <d v="2023-05-30T00:00:00"/>
    <x v="3"/>
    <s v="NA"/>
    <s v="NA"/>
    <s v="cfs"/>
    <x v="0"/>
    <m/>
  </r>
  <r>
    <x v="0"/>
    <s v="San Juan Creek"/>
    <n v="901.27"/>
    <x v="0"/>
    <m/>
    <s v="Major MS4 Outfall"/>
    <s v="L01-517-3"/>
    <x v="2"/>
    <d v="2023-05-30T00:00:00"/>
    <x v="3"/>
    <s v="NA"/>
    <s v="NA"/>
    <s v="cfs"/>
    <x v="0"/>
    <m/>
  </r>
  <r>
    <x v="0"/>
    <s v="San Juan Creek"/>
    <n v="901.27"/>
    <x v="0"/>
    <m/>
    <s v="Major MS4 Outfall"/>
    <s v="L01-471-1"/>
    <x v="2"/>
    <d v="2023-05-30T00:00:00"/>
    <x v="1"/>
    <s v="None - Flow Infiltrates or Outfall is Dry"/>
    <n v="9.1669999999999998E-3"/>
    <s v="cfs"/>
    <x v="0"/>
    <s v="Floating leaf"/>
  </r>
  <r>
    <x v="0"/>
    <s v="San Juan Creek"/>
    <n v="901.27"/>
    <x v="0"/>
    <m/>
    <s v="Major MS4 Outfall"/>
    <s v="L01-458-1"/>
    <x v="2"/>
    <d v="2023-05-30T00:00:00"/>
    <x v="1"/>
    <s v="Undetermined"/>
    <s v="NA"/>
    <s v="cfs"/>
    <x v="0"/>
    <m/>
  </r>
  <r>
    <x v="1"/>
    <s v="San Juan Creek"/>
    <n v="901.27"/>
    <x v="0"/>
    <m/>
    <s v="Major MS4 Outfall"/>
    <s v="L01-766-8"/>
    <x v="2"/>
    <d v="2023-06-05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3"/>
    <x v="2"/>
    <d v="2023-06-05T00:00:00"/>
    <x v="1"/>
    <s v="NA"/>
    <s v="NA"/>
    <s v="cfs"/>
    <x v="0"/>
    <m/>
  </r>
  <r>
    <x v="1"/>
    <s v="San Juan Creek"/>
    <n v="901.27"/>
    <x v="0"/>
    <m/>
    <s v="Major MS4 Outfall"/>
    <s v="L01-517-2"/>
    <x v="2"/>
    <d v="2023-06-05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2"/>
    <x v="2"/>
    <d v="2023-06-05T00:00:00"/>
    <x v="4"/>
    <s v="Direct Connection"/>
    <s v="NA"/>
    <s v="cfs"/>
    <x v="0"/>
    <m/>
  </r>
  <r>
    <x v="1"/>
    <s v="San Juan Creek"/>
    <n v="901.27"/>
    <x v="0"/>
    <m/>
    <s v="Major MS4 Outfall"/>
    <s v="L01-748-2"/>
    <x v="2"/>
    <d v="2023-06-05T00:00:00"/>
    <x v="2"/>
    <s v="Direct Connection"/>
    <s v="NA"/>
    <s v="cfs"/>
    <x v="0"/>
    <m/>
  </r>
  <r>
    <x v="1"/>
    <s v="San Juan Creek"/>
    <n v="901.27"/>
    <x v="0"/>
    <m/>
    <s v="Major MS4 Outfall"/>
    <s v="L01-618-2"/>
    <x v="2"/>
    <d v="2023-06-05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517-1"/>
    <x v="2"/>
    <d v="2023-06-05T00:00:00"/>
    <x v="0"/>
    <s v="NA"/>
    <s v="NA"/>
    <s v="cfs"/>
    <x v="0"/>
    <m/>
  </r>
  <r>
    <x v="1"/>
    <s v="San Juan Creek"/>
    <n v="901.27"/>
    <x v="0"/>
    <m/>
    <s v="Major MS4 Outfall"/>
    <s v="L01-517-1"/>
    <x v="2"/>
    <d v="2023-06-05T00:00:00"/>
    <x v="0"/>
    <s v="NA"/>
    <s v="NA"/>
    <s v="cfs"/>
    <x v="0"/>
    <m/>
  </r>
  <r>
    <x v="1"/>
    <s v="San Juan Creek"/>
    <n v="901.27"/>
    <x v="0"/>
    <m/>
    <s v="Major MS4 Outfall"/>
    <s v="L01-748-1"/>
    <x v="2"/>
    <d v="2023-06-05T00:00:00"/>
    <x v="0"/>
    <s v="NA"/>
    <s v="NA"/>
    <s v="cfs"/>
    <x v="0"/>
    <m/>
  </r>
  <r>
    <x v="1"/>
    <s v="San Juan Creek"/>
    <n v="901.27"/>
    <x v="0"/>
    <m/>
    <s v="Major MS4 Outfall"/>
    <s v="L01-602-2"/>
    <x v="2"/>
    <d v="2023-06-05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618-1"/>
    <x v="2"/>
    <d v="2023-06-05T00:00:00"/>
    <x v="2"/>
    <s v="Direct Connection"/>
    <s v="NA"/>
    <s v="cfs"/>
    <x v="0"/>
    <m/>
  </r>
  <r>
    <x v="1"/>
    <s v="San Juan Creek"/>
    <n v="901.27"/>
    <x v="0"/>
    <m/>
    <s v="Major MS4 Outfall"/>
    <s v="L01-766-2 (L01S06)"/>
    <x v="2"/>
    <d v="2023-06-05T00:00:00"/>
    <x v="3"/>
    <s v="Unsafe to Access"/>
    <s v="NA"/>
    <s v="cfs"/>
    <x v="0"/>
    <m/>
  </r>
  <r>
    <x v="1"/>
    <s v="San Juan Creek"/>
    <n v="901.27"/>
    <x v="0"/>
    <m/>
    <s v="Major MS4 Outfall"/>
    <s v="L01-747-1"/>
    <x v="2"/>
    <d v="2023-06-05T00:00:00"/>
    <x v="2"/>
    <s v="Direct Connection"/>
    <s v="NA"/>
    <s v="cfs"/>
    <x v="0"/>
    <m/>
  </r>
  <r>
    <x v="1"/>
    <s v="San Juan Creek"/>
    <n v="901.27"/>
    <x v="0"/>
    <m/>
    <s v="Major MS4 Outfall"/>
    <s v="L01-556-1"/>
    <x v="2"/>
    <d v="2023-06-05T00:00:00"/>
    <x v="3"/>
    <s v="Unsafe to Access"/>
    <s v="NA"/>
    <s v="cfs"/>
    <x v="0"/>
    <m/>
  </r>
  <r>
    <x v="1"/>
    <s v="San Juan Creek"/>
    <n v="901.27"/>
    <x v="0"/>
    <m/>
    <s v="Major MS4 Outfall"/>
    <s v="L01-766-4"/>
    <x v="2"/>
    <d v="2023-06-05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5"/>
    <x v="2"/>
    <d v="2023-06-05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7"/>
    <x v="2"/>
    <d v="2023-06-05T00:00:00"/>
    <x v="3"/>
    <s v="None - Flow Infiltrates or Outfall is Dry"/>
    <s v="NA"/>
    <s v="cfs"/>
    <x v="0"/>
    <m/>
  </r>
  <r>
    <x v="1"/>
    <s v="San Juan Creek"/>
    <n v="901.27"/>
    <x v="0"/>
    <m/>
    <s v="Major MS4 Outfall"/>
    <s v="L01-747-2"/>
    <x v="2"/>
    <d v="2023-06-05T00:00:00"/>
    <x v="1"/>
    <s v="Direct Connection"/>
    <n v="2.2706E-2"/>
    <s v="cfs"/>
    <x v="0"/>
    <s v="Floating leaf"/>
  </r>
  <r>
    <x v="1"/>
    <s v="San Juan Creek"/>
    <n v="901.27"/>
    <x v="0"/>
    <m/>
    <s v="Major MS4 Outfall"/>
    <s v="L01-747-2"/>
    <x v="2"/>
    <d v="2023-06-05T00:00:00"/>
    <x v="1"/>
    <s v="Direct Connection"/>
    <n v="2.2706E-2"/>
    <s v="cfs"/>
    <x v="0"/>
    <s v="Floating leaf"/>
  </r>
  <r>
    <x v="1"/>
    <s v="San Juan Creek"/>
    <n v="901.27"/>
    <x v="0"/>
    <m/>
    <s v="Major MS4 Outfall"/>
    <s v="L01-517-8"/>
    <x v="2"/>
    <d v="2023-06-05T00:00:00"/>
    <x v="0"/>
    <s v="None - Flow Infiltrates or Outfall is Dry"/>
    <s v="NA"/>
    <s v="cfs"/>
    <x v="0"/>
    <m/>
  </r>
  <r>
    <x v="2"/>
    <s v="San Juan Creek"/>
    <n v="901.27"/>
    <x v="1"/>
    <s v="Undetermined"/>
    <s v="Major MS4 Outfall"/>
    <s v="L01-726-6"/>
    <x v="2"/>
    <d v="2023-06-06T00:00:00"/>
    <x v="0"/>
    <s v="Undetermined"/>
    <s v="NA"/>
    <s v="cfs"/>
    <x v="0"/>
    <m/>
  </r>
  <r>
    <x v="2"/>
    <s v="San Juan Creek"/>
    <n v="901.27"/>
    <x v="1"/>
    <s v="Undetermined"/>
    <s v="Major MS4 Outfall"/>
    <s v="L01-726-6"/>
    <x v="2"/>
    <d v="2023-06-06T00:00:00"/>
    <x v="0"/>
    <s v="Undetermined"/>
    <s v="NA"/>
    <s v="cfs"/>
    <x v="0"/>
    <m/>
  </r>
  <r>
    <x v="2"/>
    <s v="San Juan Creek"/>
    <n v="901.27"/>
    <x v="1"/>
    <s v="None - Flow Infiltrates or Outfall is Dry"/>
    <s v="Major MS4 Outfall"/>
    <s v="L01-726-3"/>
    <x v="2"/>
    <d v="2023-06-0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9"/>
    <x v="2"/>
    <d v="2023-06-0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8"/>
    <x v="2"/>
    <d v="2023-06-0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01-1"/>
    <x v="2"/>
    <d v="2023-06-0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3"/>
    <x v="2"/>
    <d v="2023-06-06T00:00:00"/>
    <x v="1"/>
    <s v="Direct Connection"/>
    <n v="1E-3"/>
    <s v="cfs"/>
    <x v="0"/>
    <s v="Volumetric"/>
  </r>
  <r>
    <x v="2"/>
    <s v="San Juan Creek"/>
    <n v="901.27"/>
    <x v="1"/>
    <s v="Direct Connection"/>
    <s v="Major MS4 Outfall"/>
    <s v="L01-726-2"/>
    <x v="2"/>
    <d v="2023-06-06T00:00:00"/>
    <x v="3"/>
    <s v="Direct Connection"/>
    <s v="NA"/>
    <s v="cfs"/>
    <x v="0"/>
    <m/>
  </r>
  <r>
    <x v="2"/>
    <s v="San Juan Creek"/>
    <n v="901.27"/>
    <x v="0"/>
    <m/>
    <s v="Major MS4 Outfall"/>
    <s v="L01-726-7"/>
    <x v="2"/>
    <d v="2023-06-06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2d"/>
    <x v="2"/>
    <d v="2023-06-08T00:00:00"/>
    <x v="4"/>
    <s v="NA"/>
    <s v="NA"/>
    <s v="cfs"/>
    <x v="0"/>
    <m/>
  </r>
  <r>
    <x v="1"/>
    <s v="San Juan Creek"/>
    <n v="901.27"/>
    <x v="0"/>
    <m/>
    <s v="Major MS4 Outfall"/>
    <s v="L01-724-1 (L01S01)"/>
    <x v="2"/>
    <d v="2023-06-08T00:00:00"/>
    <x v="1"/>
    <s v="Direct Connection"/>
    <n v="0.200769"/>
    <s v="cfs"/>
    <x v="0"/>
    <s v="Floating leaf"/>
  </r>
  <r>
    <x v="1"/>
    <s v="San Juan Creek"/>
    <n v="901.27"/>
    <x v="0"/>
    <m/>
    <s v="Major MS4 Outfall"/>
    <s v="L01-724-1 (L01S01)"/>
    <x v="2"/>
    <d v="2023-06-08T00:00:00"/>
    <x v="1"/>
    <s v="Direct Connection"/>
    <n v="0.200769"/>
    <s v="cfs"/>
    <x v="0"/>
    <s v="Floating leaf"/>
  </r>
  <r>
    <x v="1"/>
    <s v="San Juan Creek"/>
    <n v="901.27"/>
    <x v="0"/>
    <m/>
    <s v="Major MS4 Outfall"/>
    <s v="L01-724-1 (L01S01)"/>
    <x v="2"/>
    <d v="2023-06-08T00:00:00"/>
    <x v="1"/>
    <s v="Direct Connection"/>
    <n v="0.200769"/>
    <s v="cfs"/>
    <x v="0"/>
    <s v="Floating leaf"/>
  </r>
  <r>
    <x v="1"/>
    <s v="San Juan Creek"/>
    <n v="901.27"/>
    <x v="0"/>
    <m/>
    <s v="Major MS4 Outfall"/>
    <s v="L01-766-9"/>
    <x v="2"/>
    <d v="2023-06-08T00:00:00"/>
    <x v="2"/>
    <s v="Undetermined"/>
    <s v="NA"/>
    <s v="cfs"/>
    <x v="0"/>
    <m/>
  </r>
  <r>
    <x v="1"/>
    <s v="San Juan Creek"/>
    <n v="901.27"/>
    <x v="0"/>
    <m/>
    <s v="Major MS4 Outfall"/>
    <s v="L01-724-4 (L01P03)"/>
    <x v="2"/>
    <d v="2023-06-08T00:00:00"/>
    <x v="1"/>
    <s v="Direct Connection"/>
    <n v="7.1999999999999995E-2"/>
    <s v="cfs"/>
    <x v="0"/>
    <s v="Volumetric"/>
  </r>
  <r>
    <x v="1"/>
    <s v="San Juan Creek"/>
    <n v="901.27"/>
    <x v="0"/>
    <m/>
    <s v="Major MS4 Outfall"/>
    <s v="L01-724-4 (L01P03)"/>
    <x v="2"/>
    <d v="2023-06-08T00:00:00"/>
    <x v="1"/>
    <s v="Direct Connection"/>
    <n v="7.1999999999999995E-2"/>
    <s v="cfs"/>
    <x v="0"/>
    <s v="Volumetric"/>
  </r>
  <r>
    <x v="0"/>
    <s v="San Juan Creek"/>
    <n v="901.27"/>
    <x v="0"/>
    <m/>
    <s v="Major MS4 Outfall"/>
    <s v="L01-494-1"/>
    <x v="2"/>
    <d v="2023-06-19T00:00:00"/>
    <x v="1"/>
    <s v="NA"/>
    <n v="5.3999999999999999E-2"/>
    <s v="cfs"/>
    <x v="0"/>
    <s v="Volumetric"/>
  </r>
  <r>
    <x v="2"/>
    <s v="San Juan Creek"/>
    <n v="901.27"/>
    <x v="1"/>
    <s v="Direct Connection"/>
    <s v="Major MS4 Outfall"/>
    <s v="L01-726-5"/>
    <x v="2"/>
    <d v="2023-06-21T00:00:00"/>
    <x v="1"/>
    <s v="Direct Connection"/>
    <n v="1.2E-2"/>
    <s v="cfs"/>
    <x v="0"/>
    <s v="Volumetric"/>
  </r>
  <r>
    <x v="2"/>
    <s v="San Juan Creek"/>
    <n v="901.27"/>
    <x v="1"/>
    <s v="Direct Connection"/>
    <s v="Major MS4 Outfall"/>
    <s v="L01-726-5"/>
    <x v="2"/>
    <d v="2023-06-21T00:00:00"/>
    <x v="1"/>
    <s v="Direct Connection"/>
    <n v="1.2E-2"/>
    <s v="cfs"/>
    <x v="0"/>
    <s v="Volumetric"/>
  </r>
  <r>
    <x v="2"/>
    <s v="San Juan Creek"/>
    <n v="901.27"/>
    <x v="1"/>
    <s v="None - Flow Infiltrates or Outfall is Dry"/>
    <s v="Major MS4 Outfall"/>
    <s v="L01-728-5 (L01-DP)"/>
    <x v="2"/>
    <d v="2023-06-21T00:00:00"/>
    <x v="1"/>
    <s v="None - Flow Infiltrates or Outfall is Dry"/>
    <n v="2E-3"/>
    <s v="cfs"/>
    <x v="0"/>
    <s v="Volumetric"/>
  </r>
  <r>
    <x v="2"/>
    <s v="San Juan Creek"/>
    <n v="901.27"/>
    <x v="2"/>
    <s v="NA"/>
    <s v="Major MS4 Outfall"/>
    <s v="L01-728-8d"/>
    <x v="2"/>
    <d v="2023-08-03T00:00:00"/>
    <x v="0"/>
    <s v="NA"/>
    <s v="NA"/>
    <s v="cfs"/>
    <x v="0"/>
    <m/>
  </r>
  <r>
    <x v="1"/>
    <s v="San Juan Creek"/>
    <n v="901.27"/>
    <x v="0"/>
    <m/>
    <s v="Major MS4 Outfall"/>
    <s v="L01-766-8"/>
    <x v="2"/>
    <d v="2023-08-07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2"/>
    <x v="2"/>
    <d v="2023-08-07T00:00:00"/>
    <x v="2"/>
    <s v="NA"/>
    <s v="NA"/>
    <s v="cfs"/>
    <x v="0"/>
    <m/>
  </r>
  <r>
    <x v="1"/>
    <s v="San Juan Creek"/>
    <n v="901.27"/>
    <x v="0"/>
    <m/>
    <s v="Major MS4 Outfall"/>
    <s v="L01-618-3"/>
    <x v="2"/>
    <d v="2023-08-07T00:00:00"/>
    <x v="3"/>
    <s v="NA"/>
    <s v="NA"/>
    <s v="cfs"/>
    <x v="0"/>
    <m/>
  </r>
  <r>
    <x v="1"/>
    <s v="San Juan Creek"/>
    <n v="901.27"/>
    <x v="0"/>
    <m/>
    <s v="Major MS4 Outfall"/>
    <s v="L01-602-2"/>
    <x v="2"/>
    <d v="2023-08-07T00:00:00"/>
    <x v="2"/>
    <s v="NA"/>
    <s v="NA"/>
    <s v="cfs"/>
    <x v="0"/>
    <m/>
  </r>
  <r>
    <x v="1"/>
    <s v="San Juan Creek"/>
    <n v="901.27"/>
    <x v="0"/>
    <m/>
    <s v="Major MS4 Outfall"/>
    <s v="L01-618-1"/>
    <x v="2"/>
    <d v="2023-08-07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66-2 (L01S06)"/>
    <x v="2"/>
    <d v="2023-08-07T00:00:00"/>
    <x v="1"/>
    <s v="Direct Connection"/>
    <n v="0.203704"/>
    <s v="cfs"/>
    <x v="0"/>
    <s v="Floating leaf"/>
  </r>
  <r>
    <x v="1"/>
    <s v="San Juan Creek"/>
    <n v="901.27"/>
    <x v="0"/>
    <m/>
    <s v="Major MS4 Outfall"/>
    <s v="L01-766-4"/>
    <x v="2"/>
    <d v="2023-08-07T00:00:00"/>
    <x v="3"/>
    <s v="None - Flow Infiltrates or Outfall is Dry"/>
    <s v="NA"/>
    <s v="cfs"/>
    <x v="0"/>
    <m/>
  </r>
  <r>
    <x v="1"/>
    <s v="San Juan Creek"/>
    <n v="901.27"/>
    <x v="0"/>
    <m/>
    <s v="Major MS4 Outfall"/>
    <s v="L01-766-5"/>
    <x v="2"/>
    <d v="2023-08-07T00:00:00"/>
    <x v="0"/>
    <s v="NA"/>
    <s v="NA"/>
    <s v="cfs"/>
    <x v="0"/>
    <m/>
  </r>
  <r>
    <x v="1"/>
    <s v="San Juan Creek"/>
    <n v="901.27"/>
    <x v="0"/>
    <m/>
    <s v="Major MS4 Outfall"/>
    <s v="L01-766-7"/>
    <x v="2"/>
    <d v="2023-08-07T00:00:00"/>
    <x v="1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2"/>
    <d v="2023-08-08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6"/>
    <x v="2"/>
    <d v="2023-08-08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6-3"/>
    <x v="2"/>
    <d v="2023-08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9"/>
    <x v="2"/>
    <d v="2023-08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26-8"/>
    <x v="2"/>
    <d v="2023-08-08T00:00:00"/>
    <x v="1"/>
    <s v="None - Flow Infiltrates or Outfall is Dry"/>
    <s v="NA"/>
    <s v="cfs"/>
    <x v="0"/>
    <m/>
  </r>
  <r>
    <x v="1"/>
    <s v="San Juan Creek"/>
    <n v="901.27"/>
    <x v="0"/>
    <m/>
    <s v="Major MS4 Outfall"/>
    <s v="L01-601-1"/>
    <x v="2"/>
    <d v="2023-08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66-3"/>
    <x v="2"/>
    <d v="2023-08-08T00:00:00"/>
    <x v="1"/>
    <s v="Direct Connection"/>
    <s v="NA"/>
    <s v="cfs"/>
    <x v="0"/>
    <m/>
  </r>
  <r>
    <x v="2"/>
    <s v="San Juan Creek"/>
    <n v="901.27"/>
    <x v="1"/>
    <s v="Partial - Significant Distance"/>
    <s v="Major MS4 Outfall"/>
    <s v="L01-726-2"/>
    <x v="2"/>
    <d v="2023-08-08T00:00:00"/>
    <x v="1"/>
    <s v="Partial - Significant Distance"/>
    <s v="NA"/>
    <s v="cfs"/>
    <x v="0"/>
    <m/>
  </r>
  <r>
    <x v="2"/>
    <s v="San Juan Creek"/>
    <n v="901.27"/>
    <x v="0"/>
    <m/>
    <s v="Major MS4 Outfall"/>
    <s v="L01-726-7"/>
    <x v="2"/>
    <d v="2023-08-08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3"/>
    <x v="2"/>
    <d v="2023-08-09T00:00:00"/>
    <x v="3"/>
    <s v="None - Flow Infiltrates or Outfall is Dry"/>
    <s v="NA"/>
    <s v="cfs"/>
    <x v="0"/>
    <m/>
  </r>
  <r>
    <x v="1"/>
    <s v="San Juan Creek"/>
    <n v="901.27"/>
    <x v="0"/>
    <m/>
    <s v="Major MS4 Outfall"/>
    <s v="L01-517-2"/>
    <x v="2"/>
    <d v="2023-08-09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8-2"/>
    <x v="2"/>
    <d v="2023-08-09T00:00:00"/>
    <x v="2"/>
    <s v="Direct Connection"/>
    <s v="NA"/>
    <s v="cfs"/>
    <x v="0"/>
    <m/>
  </r>
  <r>
    <x v="1"/>
    <s v="San Juan Creek"/>
    <n v="901.27"/>
    <x v="0"/>
    <m/>
    <s v="Major MS4 Outfall"/>
    <s v="L01-618-5 (L01S09)"/>
    <x v="2"/>
    <d v="2023-08-09T00:00:00"/>
    <x v="1"/>
    <s v="Direct Connection"/>
    <n v="0.56842099999999995"/>
    <s v="cfs"/>
    <x v="0"/>
    <s v="Floating leaf"/>
  </r>
  <r>
    <x v="1"/>
    <s v="San Juan Creek"/>
    <n v="901.27"/>
    <x v="0"/>
    <m/>
    <s v="Major MS4 Outfall"/>
    <s v="L01-517-1"/>
    <x v="2"/>
    <d v="2023-08-09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517-1"/>
    <x v="2"/>
    <d v="2023-08-09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749-5"/>
    <x v="2"/>
    <d v="2023-08-09T00:00:00"/>
    <x v="2"/>
    <s v="Direct Connection"/>
    <s v="NA"/>
    <s v="cfs"/>
    <x v="0"/>
    <m/>
  </r>
  <r>
    <x v="1"/>
    <s v="San Juan Creek"/>
    <n v="901.27"/>
    <x v="0"/>
    <m/>
    <s v="Major MS4 Outfall"/>
    <s v="L01-748-1"/>
    <x v="2"/>
    <d v="2023-08-09T00:00:00"/>
    <x v="0"/>
    <s v="None - Flow Infiltrates or Outfall is Dry"/>
    <s v="NA"/>
    <s v="cfs"/>
    <x v="0"/>
    <m/>
  </r>
  <r>
    <x v="1"/>
    <s v="San Juan Creek"/>
    <n v="901.27"/>
    <x v="0"/>
    <m/>
    <s v="Major MS4 Outfall"/>
    <s v="L01-618-4"/>
    <x v="2"/>
    <d v="2023-08-09T00:00:00"/>
    <x v="2"/>
    <s v="None - Flow Infiltrates or Outfall is Dry"/>
    <s v="NA"/>
    <s v="cfs"/>
    <x v="0"/>
    <m/>
  </r>
  <r>
    <x v="1"/>
    <s v="San Juan Creek"/>
    <n v="901.27"/>
    <x v="0"/>
    <m/>
    <s v="Major MS4 Outfall"/>
    <s v="L01-747-1"/>
    <x v="2"/>
    <d v="2023-08-09T00:00:00"/>
    <x v="2"/>
    <s v="NA"/>
    <s v="NA"/>
    <s v="cfs"/>
    <x v="0"/>
    <m/>
  </r>
  <r>
    <x v="1"/>
    <s v="San Juan Creek"/>
    <n v="901.27"/>
    <x v="0"/>
    <m/>
    <s v="Major MS4 Outfall"/>
    <s v="L01-556-1"/>
    <x v="2"/>
    <d v="2023-08-09T00:00:00"/>
    <x v="1"/>
    <s v="Direct Connection"/>
    <n v="0.118571"/>
    <s v="cfs"/>
    <x v="0"/>
    <s v="Floating leaf"/>
  </r>
  <r>
    <x v="1"/>
    <s v="San Juan Creek"/>
    <n v="901.27"/>
    <x v="0"/>
    <m/>
    <s v="Major MS4 Outfall"/>
    <s v="L01-747-2"/>
    <x v="2"/>
    <d v="2023-08-09T00:00:00"/>
    <x v="1"/>
    <s v="Direct Connection"/>
    <n v="6.25E-2"/>
    <s v="cfs"/>
    <x v="0"/>
    <s v="Floating leaf"/>
  </r>
  <r>
    <x v="1"/>
    <s v="San Juan Creek"/>
    <n v="901.27"/>
    <x v="0"/>
    <m/>
    <s v="Major MS4 Outfall"/>
    <s v="L01-747-2"/>
    <x v="2"/>
    <d v="2023-08-09T00:00:00"/>
    <x v="1"/>
    <s v="Direct Connection"/>
    <n v="6.25E-2"/>
    <s v="cfs"/>
    <x v="0"/>
    <s v="Floating leaf"/>
  </r>
  <r>
    <x v="1"/>
    <s v="San Juan Creek"/>
    <n v="901.27"/>
    <x v="0"/>
    <m/>
    <s v="Major MS4 Outfall"/>
    <s v="L01-517-8"/>
    <x v="2"/>
    <d v="2023-08-09T00:00:00"/>
    <x v="0"/>
    <s v="None - Flow Infiltrates or Outfall is Dry"/>
    <s v="NA"/>
    <s v="cfs"/>
    <x v="0"/>
    <m/>
  </r>
  <r>
    <x v="0"/>
    <s v="San Juan Creek"/>
    <n v="901.27"/>
    <x v="0"/>
    <m/>
    <s v="Major MS4 Outfall"/>
    <s v="L01-517-6"/>
    <x v="2"/>
    <d v="2023-08-14T00:00:00"/>
    <x v="3"/>
    <s v="NA"/>
    <s v="NA"/>
    <s v="cfs"/>
    <x v="0"/>
    <m/>
  </r>
  <r>
    <x v="0"/>
    <s v="San Juan Creek"/>
    <n v="901.27"/>
    <x v="0"/>
    <m/>
    <s v="Major MS4 Outfall"/>
    <s v="L01-517-7"/>
    <x v="2"/>
    <d v="2023-08-14T00:00:00"/>
    <x v="0"/>
    <s v="NA"/>
    <s v="NA"/>
    <s v="cfs"/>
    <x v="0"/>
    <m/>
  </r>
  <r>
    <x v="0"/>
    <s v="San Juan Creek"/>
    <n v="901.27"/>
    <x v="0"/>
    <m/>
    <s v="Major MS4 Outfall"/>
    <s v="L01-494-1"/>
    <x v="2"/>
    <d v="2023-08-14T00:00:00"/>
    <x v="1"/>
    <s v="Direct Connection"/>
    <s v="NA"/>
    <s v="cfs"/>
    <x v="0"/>
    <m/>
  </r>
  <r>
    <x v="0"/>
    <s v="San Juan Creek"/>
    <n v="901.27"/>
    <x v="0"/>
    <m/>
    <s v="Major MS4 Outfall"/>
    <s v="L01-514-1"/>
    <x v="2"/>
    <d v="2023-08-14T00:00:00"/>
    <x v="2"/>
    <s v="None - Flow Infiltrates or Outfall is Dry"/>
    <s v="NA"/>
    <s v="cfs"/>
    <x v="0"/>
    <m/>
  </r>
  <r>
    <x v="0"/>
    <s v="San Juan Creek"/>
    <n v="901.27"/>
    <x v="0"/>
    <m/>
    <s v="Major MS4 Outfall"/>
    <s v="L01-517-3"/>
    <x v="2"/>
    <d v="2023-08-14T00:00:00"/>
    <x v="4"/>
    <s v="NA"/>
    <s v="NA"/>
    <s v="cfs"/>
    <x v="0"/>
    <m/>
  </r>
  <r>
    <x v="0"/>
    <s v="San Juan Creek"/>
    <n v="901.27"/>
    <x v="0"/>
    <m/>
    <s v="Major MS4 Outfall"/>
    <s v="L01-517-3"/>
    <x v="2"/>
    <d v="2023-08-14T00:00:00"/>
    <x v="4"/>
    <s v="NA"/>
    <s v="NA"/>
    <s v="cfs"/>
    <x v="0"/>
    <m/>
  </r>
  <r>
    <x v="0"/>
    <s v="San Juan Creek"/>
    <n v="901.27"/>
    <x v="0"/>
    <m/>
    <s v="Major MS4 Outfall"/>
    <s v="L01-471-1"/>
    <x v="2"/>
    <d v="2023-08-14T00:00:00"/>
    <x v="1"/>
    <s v="Partial - Significant Distance"/>
    <n v="5.1173000000000003E-2"/>
    <s v="cfs"/>
    <x v="0"/>
    <s v="Floating leaf"/>
  </r>
  <r>
    <x v="0"/>
    <s v="San Juan Creek"/>
    <n v="901.27"/>
    <x v="0"/>
    <m/>
    <s v="Major MS4 Outfall"/>
    <s v="L01-458-1"/>
    <x v="2"/>
    <d v="2023-08-14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6-5"/>
    <x v="2"/>
    <d v="2023-08-15T00:00:00"/>
    <x v="1"/>
    <s v="Direct Connection"/>
    <n v="1.6E-2"/>
    <s v="cfs"/>
    <x v="0"/>
    <s v="Volumetric"/>
  </r>
  <r>
    <x v="2"/>
    <s v="San Juan Creek"/>
    <n v="901.27"/>
    <x v="1"/>
    <s v="Direct Connection"/>
    <s v="Major MS4 Outfall"/>
    <s v="L01-726-5"/>
    <x v="2"/>
    <d v="2023-08-15T00:00:00"/>
    <x v="1"/>
    <s v="Direct Connection"/>
    <n v="1.6E-2"/>
    <s v="cfs"/>
    <x v="0"/>
    <s v="Volumetric"/>
  </r>
  <r>
    <x v="2"/>
    <s v="San Juan Creek"/>
    <n v="901.27"/>
    <x v="1"/>
    <s v="None - Flow Infiltrates or Outfall is Dry"/>
    <s v="Major MS4 Outfall"/>
    <s v="L01-728-5 (L01-DP)"/>
    <x v="2"/>
    <d v="2023-08-15T00:00:00"/>
    <x v="1"/>
    <s v="None - Flow Infiltrates or Outfall is Dry"/>
    <n v="3.0000000000000001E-3"/>
    <s v="cfs"/>
    <x v="0"/>
    <s v="Volumetric"/>
  </r>
  <r>
    <x v="1"/>
    <s v="San Juan Creek"/>
    <n v="901.27"/>
    <x v="0"/>
    <m/>
    <s v="Major MS4 Outfall"/>
    <s v="L01-749-2d"/>
    <x v="2"/>
    <d v="2023-08-16T00:00:00"/>
    <x v="2"/>
    <s v="NA"/>
    <s v="NA"/>
    <s v="cfs"/>
    <x v="0"/>
    <m/>
  </r>
  <r>
    <x v="1"/>
    <s v="San Juan Creek"/>
    <n v="901.27"/>
    <x v="0"/>
    <m/>
    <s v="Major MS4 Outfall"/>
    <s v="L01-724-1 (L01S01)"/>
    <x v="2"/>
    <d v="2023-08-16T00:00:00"/>
    <x v="1"/>
    <s v="Direct Connection"/>
    <n v="0.129524"/>
    <s v="cfs"/>
    <x v="0"/>
    <s v="Floating leaf"/>
  </r>
  <r>
    <x v="1"/>
    <s v="San Juan Creek"/>
    <n v="901.27"/>
    <x v="0"/>
    <m/>
    <s v="Major MS4 Outfall"/>
    <s v="L01-724-1 (L01S01)"/>
    <x v="2"/>
    <d v="2023-08-16T00:00:00"/>
    <x v="1"/>
    <s v="Direct Connection"/>
    <n v="0.129524"/>
    <s v="cfs"/>
    <x v="0"/>
    <s v="Floating leaf"/>
  </r>
  <r>
    <x v="1"/>
    <s v="San Juan Creek"/>
    <n v="901.27"/>
    <x v="0"/>
    <m/>
    <s v="Major MS4 Outfall"/>
    <s v="L01-724-1 (L01S01)"/>
    <x v="2"/>
    <d v="2023-08-16T00:00:00"/>
    <x v="1"/>
    <s v="Direct Connection"/>
    <n v="0.129524"/>
    <s v="cfs"/>
    <x v="0"/>
    <s v="Floating leaf"/>
  </r>
  <r>
    <x v="1"/>
    <s v="San Juan Creek"/>
    <n v="901.27"/>
    <x v="0"/>
    <m/>
    <s v="Major MS4 Outfall"/>
    <s v="L01-766-9"/>
    <x v="2"/>
    <d v="2023-08-16T00:00:00"/>
    <x v="4"/>
    <s v="NA"/>
    <s v="NA"/>
    <s v="cfs"/>
    <x v="0"/>
    <m/>
  </r>
  <r>
    <x v="1"/>
    <s v="San Juan Creek"/>
    <n v="901.27"/>
    <x v="0"/>
    <m/>
    <s v="Major MS4 Outfall"/>
    <s v="L01-724-4 (L01P03)"/>
    <x v="2"/>
    <d v="2023-08-16T00:00:00"/>
    <x v="1"/>
    <s v="Direct Connection"/>
    <n v="5.1999999999999998E-2"/>
    <s v="cfs"/>
    <x v="0"/>
    <s v="Volumetric"/>
  </r>
  <r>
    <x v="1"/>
    <s v="San Juan Creek"/>
    <n v="901.27"/>
    <x v="0"/>
    <m/>
    <s v="Major MS4 Outfall"/>
    <s v="L01-724-4 (L01P03)"/>
    <x v="2"/>
    <d v="2023-08-16T00:00:00"/>
    <x v="1"/>
    <s v="Direct Connection"/>
    <n v="5.1999999999999998E-2"/>
    <s v="cfs"/>
    <x v="0"/>
    <s v="Volumetric"/>
  </r>
  <r>
    <x v="0"/>
    <s v="San Juan Creek"/>
    <n v="901.27"/>
    <x v="0"/>
    <m/>
    <s v="Major MS4 Outfall"/>
    <s v="L01-399-1"/>
    <x v="2"/>
    <d v="2023-08-17T00:00:00"/>
    <x v="4"/>
    <s v="NA"/>
    <s v="NA"/>
    <s v="cfs"/>
    <x v="0"/>
    <m/>
  </r>
  <r>
    <x v="0"/>
    <s v="San Juan Creek"/>
    <n v="901.27"/>
    <x v="0"/>
    <m/>
    <s v="Major MS4 Outfall"/>
    <s v="L01-399-2"/>
    <x v="2"/>
    <d v="2023-08-17T00:00:00"/>
    <x v="3"/>
    <s v="NA"/>
    <s v="NA"/>
    <s v="cfs"/>
    <x v="0"/>
    <m/>
  </r>
  <r>
    <x v="2"/>
    <s v="San Juan Creek"/>
    <n v="901.27"/>
    <x v="1"/>
    <s v="None - Flow Infiltrates or Outfall is Dry"/>
    <s v="Major MS4 Outfall"/>
    <s v="L01-727-3"/>
    <x v="2"/>
    <d v="2023-09-06T00:00:00"/>
    <x v="0"/>
    <s v="None - Flow Infiltrates or Outfall is Dry"/>
    <s v="NA"/>
    <s v="cfs"/>
    <x v="0"/>
    <m/>
  </r>
  <r>
    <x v="2"/>
    <s v="San Juan Creek"/>
    <n v="901.27"/>
    <x v="1"/>
    <s v="None - Flow Infiltrates or Outfall is Dry"/>
    <s v="Major MS4 Outfall"/>
    <s v="L01-727-2"/>
    <x v="2"/>
    <d v="2023-09-06T00:00:00"/>
    <x v="0"/>
    <s v="None - Flow Infiltrates or Outfall is Dry"/>
    <s v="NA"/>
    <s v="cfs"/>
    <x v="0"/>
    <m/>
  </r>
  <r>
    <x v="2"/>
    <s v="San Juan Creek"/>
    <n v="901.27"/>
    <x v="1"/>
    <s v="Direct Connection"/>
    <s v="Major MS4 Outfall"/>
    <s v="L01-727-1 (L01S04)"/>
    <x v="2"/>
    <d v="2023-09-06T00:00:00"/>
    <x v="1"/>
    <s v="Direct Connection"/>
    <n v="1.1627909999999999"/>
    <s v="cfs"/>
    <x v="0"/>
    <s v="Floating leaf"/>
  </r>
  <r>
    <x v="2"/>
    <s v="San Juan Creek"/>
    <n v="901.27"/>
    <x v="1"/>
    <s v="Direct Connection"/>
    <s v="Major MS4 Outfall"/>
    <s v="L01-727-1 (L01S04)"/>
    <x v="2"/>
    <d v="2023-09-06T00:00:00"/>
    <x v="1"/>
    <s v="Direct Connection"/>
    <n v="1.1627909999999999"/>
    <s v="cfs"/>
    <x v="0"/>
    <s v="Floating leaf"/>
  </r>
  <r>
    <x v="2"/>
    <s v="San Juan Creek"/>
    <n v="901.27"/>
    <x v="1"/>
    <s v="Direct Connection"/>
    <s v="Major MS4 Outfall"/>
    <s v="L01-728-3 (L01S02)"/>
    <x v="2"/>
    <d v="2023-09-06T00:00:00"/>
    <x v="1"/>
    <s v="Direct Connection"/>
    <n v="0.184615"/>
    <s v="cfs"/>
    <x v="0"/>
    <s v="Floating leaf"/>
  </r>
  <r>
    <x v="2"/>
    <s v="San Juan Creek"/>
    <n v="901.27"/>
    <x v="1"/>
    <s v="None - Flow Infiltrates or Outfall is Dry"/>
    <s v="Major MS4 Outfall"/>
    <s v="L01-728-5 (L01-DP)"/>
    <x v="2"/>
    <d v="2023-09-06T00:00:00"/>
    <x v="1"/>
    <s v="None - Flow Infiltrates or Outfall is Dry"/>
    <n v="1.6E-2"/>
    <s v="cfs"/>
    <x v="0"/>
    <s v="Floating leaf"/>
  </r>
  <r>
    <x v="2"/>
    <s v="San Juan Creek"/>
    <n v="901.27"/>
    <x v="1"/>
    <s v="None - Flow Infiltrates or Outfall is Dry"/>
    <s v="Major MS4 Outfall"/>
    <s v="L01-728-6"/>
    <x v="2"/>
    <d v="2023-09-06T00:00:00"/>
    <x v="0"/>
    <s v="None - Flow Infiltrates or Outfall is Dry"/>
    <s v="NA"/>
    <s v="cfs"/>
    <x v="0"/>
    <m/>
  </r>
  <r>
    <x v="2"/>
    <s v="San Juan Creek"/>
    <n v="901.27"/>
    <x v="2"/>
    <s v="None - Flow Infiltrates or Outfall is Dry"/>
    <s v="Major MS4 Outfall"/>
    <s v="L01-728-9"/>
    <x v="2"/>
    <d v="2023-09-06T00:00:00"/>
    <x v="3"/>
    <s v="None - Flow Infiltrates or Outfall is Dry"/>
    <s v="NA"/>
    <s v="cfs"/>
    <x v="0"/>
    <m/>
  </r>
  <r>
    <x v="3"/>
    <s v="Aliso Creek"/>
    <n v="901.13"/>
    <x v="3"/>
    <s v="Direct Connection"/>
    <s v="Major MS4 Outfall"/>
    <s v="J01-9066-2 (J01P03)"/>
    <x v="0"/>
    <d v="2021-05-04T00:00:00"/>
    <x v="1"/>
    <s v="Direct Connection"/>
    <n v="3.8399999999999997E-2"/>
    <s v="cfs"/>
    <x v="0"/>
    <m/>
  </r>
  <r>
    <x v="4"/>
    <s v="Aliso Creek"/>
    <n v="901.13"/>
    <x v="3"/>
    <s v="None - Flow Infiltrates or Outfall is Dry"/>
    <s v="Major MS4 Outfall"/>
    <s v="J01-10006-1"/>
    <x v="0"/>
    <d v="2021-05-04T00:00:00"/>
    <x v="2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259-3"/>
    <x v="0"/>
    <d v="2021-05-04T00:00:00"/>
    <x v="1"/>
    <s v="None - Flow Infiltrates or Outfall is Dry"/>
    <n v="5.9999999999999995E-4"/>
    <s v="cfs"/>
    <x v="0"/>
    <m/>
  </r>
  <r>
    <x v="4"/>
    <s v="Aliso Creek"/>
    <n v="901.13"/>
    <x v="3"/>
    <s v="None - Flow Infiltrates or Outfall is Dry"/>
    <s v="Major MS4 Outfall"/>
    <s v="J01-9275-1"/>
    <x v="0"/>
    <d v="2021-05-04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046-3"/>
    <x v="0"/>
    <d v="2021-05-04T00:00:00"/>
    <x v="2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275-2"/>
    <x v="0"/>
    <d v="2021-05-04T00:00:00"/>
    <x v="0"/>
    <s v="None - Flow Infiltrates or Outfall is Dry"/>
    <s v="NA"/>
    <s v="cfs"/>
    <x v="0"/>
    <m/>
  </r>
  <r>
    <x v="4"/>
    <s v="Aliso Creek"/>
    <n v="901.13"/>
    <x v="3"/>
    <s v="Undetermined"/>
    <s v="Major MS4 Outfall"/>
    <s v="J01-9031-1"/>
    <x v="0"/>
    <d v="2021-05-04T00:00:00"/>
    <x v="1"/>
    <s v="Undetermined"/>
    <n v="4.8000000000000001E-2"/>
    <s v="cfs"/>
    <x v="0"/>
    <s v="Floating leaf"/>
  </r>
  <r>
    <x v="4"/>
    <s v="Aliso Creek"/>
    <n v="901.13"/>
    <x v="3"/>
    <s v="None - Flow Infiltrates or Outfall is Dry"/>
    <s v="Major MS4 Outfall"/>
    <s v="J01-9033-1"/>
    <x v="0"/>
    <d v="2021-05-04T00:00:00"/>
    <x v="1"/>
    <s v="None - Flow Infiltrates or Outfall is Dry"/>
    <n v="3.0000000000000001E-3"/>
    <s v="cfs"/>
    <x v="0"/>
    <s v="Floating leaf"/>
  </r>
  <r>
    <x v="4"/>
    <s v="Aliso Creek"/>
    <n v="901.13"/>
    <x v="3"/>
    <s v="Direct Connection"/>
    <s v="Major MS4 Outfall"/>
    <s v="J01-9040-1"/>
    <x v="0"/>
    <d v="2021-05-04T00:00:00"/>
    <x v="2"/>
    <s v="Direct Connection"/>
    <s v="NA"/>
    <s v="cfs"/>
    <x v="0"/>
    <m/>
  </r>
  <r>
    <x v="5"/>
    <s v="Aliso Creek"/>
    <n v="901.13"/>
    <x v="3"/>
    <s v="Direct Connection"/>
    <s v="Major MS4 Outfall"/>
    <s v="J01-10019-1 (J01P33)"/>
    <x v="0"/>
    <d v="2021-05-04T00:00:00"/>
    <x v="1"/>
    <s v="Direct Connection"/>
    <n v="3.5140000000000002E-3"/>
    <s v="cfs"/>
    <x v="0"/>
    <s v="Floating leaf"/>
  </r>
  <r>
    <x v="3"/>
    <s v="Aliso Creek"/>
    <n v="901.13"/>
    <x v="3"/>
    <s v="Direct Connection"/>
    <s v="Major MS4 Outfall"/>
    <s v="J01-9066-1 (J01P04)"/>
    <x v="0"/>
    <d v="2021-05-04T00:00:00"/>
    <x v="1"/>
    <s v="Direct Connection"/>
    <n v="1.575E-2"/>
    <s v="cfs"/>
    <x v="0"/>
    <s v="Floating leaf"/>
  </r>
  <r>
    <x v="4"/>
    <s v="Aliso Creek"/>
    <n v="901.13"/>
    <x v="3"/>
    <s v="None - Flow Infiltrates or Outfall is Dry"/>
    <s v="Major MS4 Outfall"/>
    <s v="J01-9377-2 (J01TBN8)"/>
    <x v="0"/>
    <d v="2021-05-04T00:00:00"/>
    <x v="0"/>
    <s v="None - Flow Infiltrates or Outfall is Dry"/>
    <s v="NA"/>
    <s v="cfs"/>
    <x v="0"/>
    <m/>
  </r>
  <r>
    <x v="3"/>
    <s v="Aliso Creek"/>
    <n v="901.13"/>
    <x v="3"/>
    <s v="None - Flow Infiltrates or Outfall is Dry"/>
    <s v="Major MS4 Outfall"/>
    <s v="J01-10012-3"/>
    <x v="0"/>
    <d v="2021-05-04T00:00:00"/>
    <x v="0"/>
    <s v="None - Flow Infiltrates or Outfall is Dry"/>
    <s v="NA"/>
    <s v="cfs"/>
    <x v="0"/>
    <m/>
  </r>
  <r>
    <x v="6"/>
    <s v="Aliso Creek"/>
    <n v="901.13"/>
    <x v="3"/>
    <m/>
    <s v="Major MS4 Outfall"/>
    <s v="J01-9005-3"/>
    <x v="0"/>
    <d v="2021-05-05T00:00:00"/>
    <x v="1"/>
    <s v="Direct Connection"/>
    <n v="2.7E-2"/>
    <s v="cfs"/>
    <x v="0"/>
    <s v="Volumetric"/>
  </r>
  <r>
    <x v="6"/>
    <s v="Aliso Creek"/>
    <n v="901.13"/>
    <x v="3"/>
    <m/>
    <s v="Major MS4 Outfall"/>
    <s v="J01-9005-3"/>
    <x v="0"/>
    <d v="2021-05-05T00:00:00"/>
    <x v="1"/>
    <s v="Direct Connection"/>
    <n v="0"/>
    <s v="cfs"/>
    <x v="0"/>
    <s v="Volumetric"/>
  </r>
  <r>
    <x v="4"/>
    <s v="Aliso Creek"/>
    <n v="901.13"/>
    <x v="3"/>
    <s v="Undetermined"/>
    <s v="Major MS4 Outfall"/>
    <s v="J01-9264-1 (J01P06)"/>
    <x v="0"/>
    <d v="2021-05-05T00:00:00"/>
    <x v="2"/>
    <s v="Undetermined"/>
    <n v="0"/>
    <s v="cfs"/>
    <x v="0"/>
    <s v="Volumetric"/>
  </r>
  <r>
    <x v="6"/>
    <s v="Aliso Creek"/>
    <n v="901.13"/>
    <x v="3"/>
    <s v="Direct Connection"/>
    <s v="Major MS4 Outfall"/>
    <s v="J01-9144-1 (J01P23)"/>
    <x v="0"/>
    <d v="2021-05-05T00:00:00"/>
    <x v="1"/>
    <s v="Direct Connection"/>
    <n v="3.0000000000000001E-3"/>
    <s v="cfs"/>
    <x v="0"/>
    <s v="Volumetric"/>
  </r>
  <r>
    <x v="5"/>
    <s v="Aliso Creek"/>
    <n v="901.13"/>
    <x v="3"/>
    <s v="None - Flow Infiltrates or Outfall is Dry"/>
    <s v="Major MS4 Outfall"/>
    <s v="J01-9144-4 (J01P26)"/>
    <x v="0"/>
    <d v="2021-05-05T00:00:00"/>
    <x v="1"/>
    <s v="None - Flow Infiltrates or Outfall is Dry"/>
    <n v="1.4059999999999999E-3"/>
    <s v="cfs"/>
    <x v="0"/>
    <s v="Floating leaf"/>
  </r>
  <r>
    <x v="4"/>
    <s v="Aliso Creek"/>
    <n v="901.13"/>
    <x v="3"/>
    <s v="Direct Connection"/>
    <s v="Major MS4 Outfall"/>
    <s v="J01-9377-1"/>
    <x v="0"/>
    <d v="2021-05-05T00:00:00"/>
    <x v="1"/>
    <s v="Direct Connection"/>
    <n v="8.9999999999999998E-4"/>
    <s v="cfs"/>
    <x v="0"/>
    <m/>
  </r>
  <r>
    <x v="5"/>
    <s v="Aliso Creek"/>
    <n v="901.13"/>
    <x v="3"/>
    <s v="Direct Connection"/>
    <s v="Major MS4 Outfall"/>
    <s v="J01-10017-1 (J01TBN4)"/>
    <x v="0"/>
    <d v="2021-05-05T00:00:00"/>
    <x v="1"/>
    <s v="Direct Connection"/>
    <n v="1E-3"/>
    <s v="cfs"/>
    <x v="0"/>
    <s v="Volumetric"/>
  </r>
  <r>
    <x v="6"/>
    <s v="Aliso Creek"/>
    <n v="901.13"/>
    <x v="3"/>
    <m/>
    <s v="Major MS4 Outfall"/>
    <s v="J01-10041-2 (J03P13)"/>
    <x v="0"/>
    <d v="2021-05-13T00:00:00"/>
    <x v="2"/>
    <s v="NA"/>
    <s v="NA"/>
    <s v="cfs"/>
    <x v="0"/>
    <m/>
  </r>
  <r>
    <x v="7"/>
    <s v="Aliso Creek"/>
    <n v="901.13"/>
    <x v="3"/>
    <s v="Partial - Significant Distance"/>
    <s v="Major MS4 Outfall"/>
    <s v="J01-9273-1"/>
    <x v="0"/>
    <d v="2021-05-25T00:00:00"/>
    <x v="2"/>
    <s v="Partial - Significant Distance"/>
    <s v="NA"/>
    <s v="cfs"/>
    <x v="0"/>
    <m/>
  </r>
  <r>
    <x v="5"/>
    <s v="Aliso Creek"/>
    <n v="901.13"/>
    <x v="3"/>
    <s v="Direct Connection"/>
    <s v="Major MS4 Outfall"/>
    <s v="J01-9992-1 (J01P27)"/>
    <x v="0"/>
    <d v="2021-05-26T00:00:00"/>
    <x v="1"/>
    <s v="Direct Connection"/>
    <n v="4.1250000000000002E-2"/>
    <s v="cfs"/>
    <x v="0"/>
    <s v="Floating leaf"/>
  </r>
  <r>
    <x v="5"/>
    <s v="Aliso Creek"/>
    <n v="901.13"/>
    <x v="3"/>
    <s v="Undetermined"/>
    <s v="Major MS4 Outfall"/>
    <s v="J01-9082-2"/>
    <x v="0"/>
    <d v="2021-05-26T00:00:00"/>
    <x v="1"/>
    <s v="Undetermined"/>
    <n v="0.126"/>
    <s v="cfs"/>
    <x v="0"/>
    <s v="Floating leaf"/>
  </r>
  <r>
    <x v="5"/>
    <s v="Aliso Creek"/>
    <n v="901.13"/>
    <x v="3"/>
    <s v="Undetermined"/>
    <s v="Major MS4 Outfall"/>
    <s v="J01-9082-4"/>
    <x v="0"/>
    <d v="2021-05-26T00:00:00"/>
    <x v="1"/>
    <s v="Undetermined"/>
    <n v="5.6000000000000001E-2"/>
    <s v="cfs"/>
    <x v="0"/>
    <s v="Floating leaf"/>
  </r>
  <r>
    <x v="5"/>
    <s v="Aliso Creek"/>
    <n v="901.13"/>
    <x v="3"/>
    <s v="Undetermined"/>
    <s v="Major MS4 Outfall"/>
    <s v="J01-9007-1 (J02P05)"/>
    <x v="0"/>
    <d v="2021-05-26T00:00:00"/>
    <x v="1"/>
    <s v="Undetermined"/>
    <n v="4.2000000000000003E-2"/>
    <s v="cfs"/>
    <x v="0"/>
    <s v="Floating leaf"/>
  </r>
  <r>
    <x v="5"/>
    <s v="Aliso Creek"/>
    <n v="901.13"/>
    <x v="3"/>
    <s v="Direct Connection"/>
    <s v="Major MS4 Outfall"/>
    <s v="J01-9131-1 (J01P28)"/>
    <x v="0"/>
    <d v="2021-05-26T00:00:00"/>
    <x v="1"/>
    <s v="Direct Connection"/>
    <n v="3.8399999999999997E-2"/>
    <s v="cfs"/>
    <x v="0"/>
    <s v="Floating leaf"/>
  </r>
  <r>
    <x v="4"/>
    <s v="Aliso Creek"/>
    <n v="901.13"/>
    <x v="3"/>
    <s v="None - Flow Infiltrates or Outfall is Dry"/>
    <s v="Major MS4 Outfall"/>
    <s v="J01-10004-2"/>
    <x v="0"/>
    <d v="2021-05-27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782-1 (J01TBN3)"/>
    <x v="0"/>
    <d v="2021-05-27T00:00:00"/>
    <x v="3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785-1"/>
    <x v="0"/>
    <d v="2021-05-27T00:00:00"/>
    <x v="1"/>
    <s v="Direct Connection"/>
    <n v="2.6959E-2"/>
    <s v="cfs"/>
    <x v="0"/>
    <s v="Floating leaf"/>
  </r>
  <r>
    <x v="6"/>
    <s v="Aliso Creek"/>
    <n v="901.13"/>
    <x v="3"/>
    <s v="Direct Connection"/>
    <s v="Major MS4 Outfall"/>
    <s v="J01-9224-2 (J01P25)"/>
    <x v="0"/>
    <d v="2021-05-27T00:00:00"/>
    <x v="1"/>
    <s v="Direct Connection"/>
    <n v="7.6999999999999999E-2"/>
    <s v="cfs"/>
    <x v="0"/>
    <s v="Floating leaf"/>
  </r>
  <r>
    <x v="4"/>
    <s v="Aliso Creek"/>
    <n v="901.13"/>
    <x v="3"/>
    <s v="Direct Connection"/>
    <s v="Major MS4 Outfall"/>
    <s v="J01-9046-1"/>
    <x v="0"/>
    <d v="2021-05-27T00:00:00"/>
    <x v="1"/>
    <s v="Direct Connection"/>
    <n v="8.0000000000000002E-3"/>
    <s v="cfs"/>
    <x v="0"/>
    <s v="Floating leaf"/>
  </r>
  <r>
    <x v="4"/>
    <s v="Aliso Creek"/>
    <n v="901.13"/>
    <x v="3"/>
    <s v="Direct Connection"/>
    <s v="Major MS4 Outfall"/>
    <s v="J01-9046-2"/>
    <x v="0"/>
    <d v="2021-05-27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10004-1 (J01P01)"/>
    <x v="0"/>
    <d v="2021-05-27T00:00:00"/>
    <x v="1"/>
    <s v="Direct Connection"/>
    <n v="0.16647600000000001"/>
    <s v="cfs"/>
    <x v="0"/>
    <s v="Floating leaf"/>
  </r>
  <r>
    <x v="4"/>
    <s v="Aliso Creek"/>
    <n v="901.13"/>
    <x v="3"/>
    <s v="None - Flow Infiltrates or Outfall is Dry"/>
    <s v="Major MS4 Outfall"/>
    <s v="J01-9349-1"/>
    <x v="0"/>
    <d v="2021-05-27T00:00:00"/>
    <x v="2"/>
    <s v="None - Flow Infiltrates or Outfall is Dry"/>
    <s v="NA"/>
    <s v="cfs"/>
    <x v="0"/>
    <m/>
  </r>
  <r>
    <x v="6"/>
    <s v="Aliso Creek"/>
    <n v="901.13"/>
    <x v="3"/>
    <s v="Partial - Significant Distance"/>
    <s v="Major MS4 Outfall"/>
    <s v="J01-9224-1 (J01P24)"/>
    <x v="0"/>
    <d v="2021-05-27T00:00:00"/>
    <x v="1"/>
    <s v="Partial - Significant Distance"/>
    <s v="NA"/>
    <s v="cfs"/>
    <x v="0"/>
    <s v="Floating leaf"/>
  </r>
  <r>
    <x v="6"/>
    <s v="Aliso Creek"/>
    <n v="901.13"/>
    <x v="3"/>
    <m/>
    <s v="Major MS4 Outfall"/>
    <s v="J01-9005-1 (J03P05)"/>
    <x v="0"/>
    <d v="2021-07-15T00:00:00"/>
    <x v="1"/>
    <s v="Direct Connection"/>
    <n v="3.3085000000000003E-2"/>
    <s v="cfs"/>
    <x v="0"/>
    <s v="Floating leaf"/>
  </r>
  <r>
    <x v="5"/>
    <s v="Aliso Creek"/>
    <n v="901.13"/>
    <x v="3"/>
    <s v="Direct Connection"/>
    <s v="Major MS4 Outfall"/>
    <s v="J01-9008-1 (J01P30)"/>
    <x v="0"/>
    <d v="2021-07-15T00:00:00"/>
    <x v="1"/>
    <s v="Direct Connection"/>
    <n v="2.8799999999999999E-2"/>
    <s v="cfs"/>
    <x v="0"/>
    <s v="Floating leaf"/>
  </r>
  <r>
    <x v="5"/>
    <s v="Aliso Creek"/>
    <n v="901.13"/>
    <x v="3"/>
    <s v="Undetermined"/>
    <s v="Major MS4 Outfall"/>
    <s v="J01-9007-1 (J02P05)"/>
    <x v="0"/>
    <d v="2021-07-15T00:00:00"/>
    <x v="1"/>
    <s v="Undetermined"/>
    <n v="8.3333000000000004E-2"/>
    <s v="cfs"/>
    <x v="0"/>
    <s v="Floating leaf"/>
  </r>
  <r>
    <x v="6"/>
    <s v="Aliso Creek"/>
    <n v="901.13"/>
    <x v="3"/>
    <m/>
    <s v="Major MS4 Outfall"/>
    <s v="J01-9005-1 (J03P05)"/>
    <x v="0"/>
    <d v="2021-07-19T00:00:00"/>
    <x v="1"/>
    <s v="Direct Connection"/>
    <n v="1.4999999999999999E-2"/>
    <s v="cfs"/>
    <x v="0"/>
    <s v="Volumetric"/>
  </r>
  <r>
    <x v="5"/>
    <s v="Aliso Creek"/>
    <n v="901.13"/>
    <x v="3"/>
    <s v="Direct Connection"/>
    <s v="Major MS4 Outfall"/>
    <s v="J01-9008-1 (J01P30)"/>
    <x v="0"/>
    <d v="2021-07-19T00:00:00"/>
    <x v="1"/>
    <s v="Direct Connection"/>
    <n v="5.8909000000000003E-2"/>
    <s v="cfs"/>
    <x v="0"/>
    <m/>
  </r>
  <r>
    <x v="5"/>
    <s v="Aliso Creek"/>
    <n v="901.13"/>
    <x v="3"/>
    <s v="Undetermined"/>
    <s v="Major MS4 Outfall"/>
    <s v="J01-9007-1 (J02P05)"/>
    <x v="0"/>
    <d v="2021-07-19T00:00:00"/>
    <x v="1"/>
    <s v="Undetermined"/>
    <n v="0.14000000000000001"/>
    <s v="cfs"/>
    <x v="0"/>
    <s v="Floating leaf"/>
  </r>
  <r>
    <x v="3"/>
    <s v="Aliso Creek"/>
    <n v="901.13"/>
    <x v="3"/>
    <s v="Direct Connection"/>
    <s v="Major MS4 Outfall"/>
    <s v="J01-9066-2 (J01P03)"/>
    <x v="0"/>
    <d v="2021-07-20T00:00:00"/>
    <x v="1"/>
    <s v="Direct Connection"/>
    <n v="1.2999999999999999E-2"/>
    <s v="cfs"/>
    <x v="0"/>
    <s v="Volumetric"/>
  </r>
  <r>
    <x v="4"/>
    <s v="Aliso Creek"/>
    <n v="901.13"/>
    <x v="3"/>
    <s v="None - Flow Infiltrates or Outfall is Dry"/>
    <s v="Major MS4 Outfall"/>
    <s v="J01-9259-3"/>
    <x v="0"/>
    <d v="2021-07-20T00:00:00"/>
    <x v="2"/>
    <s v="None - Flow Infiltrates or Outfall is Dry"/>
    <s v="NA"/>
    <s v="cfs"/>
    <x v="0"/>
    <m/>
  </r>
  <r>
    <x v="3"/>
    <s v="Aliso Creek"/>
    <n v="901.13"/>
    <x v="3"/>
    <s v="Direct Connection"/>
    <s v="Major MS4 Outfall"/>
    <s v="J01-9066-1 (J01P04)"/>
    <x v="0"/>
    <d v="2021-07-20T00:00:00"/>
    <x v="1"/>
    <s v="Direct Connection"/>
    <n v="5.0000000000000001E-3"/>
    <s v="cfs"/>
    <x v="0"/>
    <s v="Volumetric"/>
  </r>
  <r>
    <x v="6"/>
    <s v="Aliso Creek"/>
    <n v="901.13"/>
    <x v="3"/>
    <m/>
    <s v="Major MS4 Outfall"/>
    <s v="J01-9005-3"/>
    <x v="0"/>
    <d v="2021-07-28T00:00:00"/>
    <x v="1"/>
    <s v="NA"/>
    <n v="0.61323300000000003"/>
    <s v="cfs"/>
    <x v="0"/>
    <s v="Floating leaf"/>
  </r>
  <r>
    <x v="0"/>
    <s v="Aliso Creek"/>
    <n v="901.13"/>
    <x v="3"/>
    <s v="None - Flow Infiltrates or Outfall is Dry"/>
    <s v="Major MS4 Outfall"/>
    <s v="J01-9364-4"/>
    <x v="0"/>
    <d v="2021-07-28T00:00:00"/>
    <x v="0"/>
    <s v="None - Flow Infiltrates or Outfall is Dry"/>
    <s v="NA"/>
    <s v="cfs"/>
    <x v="0"/>
    <m/>
  </r>
  <r>
    <x v="0"/>
    <s v="Aliso Creek"/>
    <n v="901.13"/>
    <x v="3"/>
    <s v="NA"/>
    <s v="Major MS4 Outfall"/>
    <s v="J01-9364-3 (J01P21)"/>
    <x v="0"/>
    <d v="2021-07-28T00:00:00"/>
    <x v="2"/>
    <s v="NA"/>
    <s v="NA"/>
    <s v="cfs"/>
    <x v="0"/>
    <m/>
  </r>
  <r>
    <x v="6"/>
    <s v="Aliso Creek"/>
    <n v="901.13"/>
    <x v="3"/>
    <m/>
    <s v="Major MS4 Outfall"/>
    <s v="J01-10041-2 (J03P13)"/>
    <x v="0"/>
    <d v="2021-07-28T00:00:00"/>
    <x v="2"/>
    <s v="NA"/>
    <s v="NA"/>
    <s v="cfs"/>
    <x v="0"/>
    <m/>
  </r>
  <r>
    <x v="6"/>
    <s v="Aliso Creek"/>
    <n v="901.13"/>
    <x v="3"/>
    <m/>
    <s v="Major MS4 Outfall"/>
    <s v="J01-9005-1 (J03P05)"/>
    <x v="0"/>
    <d v="2021-08-02T00:00:00"/>
    <x v="1"/>
    <s v="Direct Connection"/>
    <n v="1.4999999999999999E-2"/>
    <s v="cfs"/>
    <x v="0"/>
    <s v="Volumetric"/>
  </r>
  <r>
    <x v="5"/>
    <s v="Aliso Creek"/>
    <n v="901.13"/>
    <x v="3"/>
    <s v="Direct Connection"/>
    <s v="Major MS4 Outfall"/>
    <s v="J01-9008-1 (J01P30)"/>
    <x v="0"/>
    <d v="2021-08-02T00:00:00"/>
    <x v="1"/>
    <s v="Direct Connection"/>
    <n v="5.0000000000000001E-3"/>
    <s v="cfs"/>
    <x v="0"/>
    <s v="Volumetric"/>
  </r>
  <r>
    <x v="5"/>
    <s v="Aliso Creek"/>
    <n v="901.13"/>
    <x v="3"/>
    <s v="Undetermined"/>
    <s v="Major MS4 Outfall"/>
    <s v="J01-9007-1 (J02P05)"/>
    <x v="0"/>
    <d v="2021-08-02T00:00:00"/>
    <x v="1"/>
    <s v="Undetermined"/>
    <n v="2.9000000000000001E-2"/>
    <s v="cfs"/>
    <x v="0"/>
    <s v="Volumetric"/>
  </r>
  <r>
    <x v="4"/>
    <s v="Aliso Creek"/>
    <n v="901.13"/>
    <x v="3"/>
    <s v="Direct Connection"/>
    <s v="Major MS4 Outfall"/>
    <s v="J01-9040-1"/>
    <x v="0"/>
    <d v="2021-08-05T00:00:00"/>
    <x v="2"/>
    <s v="Direct Connection"/>
    <s v="NA"/>
    <s v="cfs"/>
    <x v="0"/>
    <m/>
  </r>
  <r>
    <x v="5"/>
    <s v="Aliso Creek"/>
    <n v="901.13"/>
    <x v="3"/>
    <s v="Direct Connection"/>
    <s v="Major MS4 Outfall"/>
    <s v="J01-10019-1 (J01P33)"/>
    <x v="0"/>
    <d v="2021-08-10T00:00:00"/>
    <x v="1"/>
    <s v="Direct Connection"/>
    <n v="0"/>
    <s v="cfs"/>
    <x v="0"/>
    <s v="Volumetric"/>
  </r>
  <r>
    <x v="6"/>
    <s v="Aliso Creek"/>
    <n v="901.13"/>
    <x v="3"/>
    <s v="Direct Connection"/>
    <s v="Major MS4 Outfall"/>
    <s v="J01-9144-1 (J01P23)"/>
    <x v="0"/>
    <d v="2021-08-10T00:00:00"/>
    <x v="1"/>
    <s v="Direct Connection"/>
    <n v="1.2999999999999999E-2"/>
    <s v="cfs"/>
    <x v="0"/>
    <s v="Volumetric"/>
  </r>
  <r>
    <x v="5"/>
    <s v="Aliso Creek"/>
    <n v="901.13"/>
    <x v="3"/>
    <s v="Direct Connection"/>
    <s v="Major MS4 Outfall"/>
    <s v="J01-9144-4 (J01P26)"/>
    <x v="0"/>
    <d v="2021-08-10T00:00:00"/>
    <x v="1"/>
    <s v="Direct Connection"/>
    <n v="5.5999999999999999E-3"/>
    <s v="cfs"/>
    <x v="0"/>
    <s v="Floating leaf"/>
  </r>
  <r>
    <x v="5"/>
    <s v="Aliso Creek"/>
    <n v="901.13"/>
    <x v="3"/>
    <s v="Direct Connection"/>
    <s v="Major MS4 Outfall"/>
    <s v="J01-10017-1 (J01TBN4)"/>
    <x v="0"/>
    <d v="2021-08-10T00:00:00"/>
    <x v="1"/>
    <s v="Direct Connection"/>
    <n v="2.8736999999999999E-2"/>
    <s v="cfs"/>
    <x v="0"/>
    <s v="Floating leaf"/>
  </r>
  <r>
    <x v="6"/>
    <s v="Aliso Creek"/>
    <n v="901.13"/>
    <x v="3"/>
    <m/>
    <s v="Major MS4 Outfall"/>
    <s v="J01-9005-1 (J03P05)"/>
    <x v="0"/>
    <d v="2021-08-11T00:00:00"/>
    <x v="1"/>
    <s v="Direct Connection"/>
    <n v="0.06"/>
    <s v="cfs"/>
    <x v="0"/>
    <s v="Floating leaf"/>
  </r>
  <r>
    <x v="5"/>
    <s v="Aliso Creek"/>
    <n v="901.13"/>
    <x v="3"/>
    <s v="Direct Connection"/>
    <s v="Major MS4 Outfall"/>
    <s v="J01-9008-1 (J01P30)"/>
    <x v="0"/>
    <d v="2021-08-11T00:00:00"/>
    <x v="1"/>
    <s v="Direct Connection"/>
    <n v="0.05"/>
    <s v="cfs"/>
    <x v="0"/>
    <s v="Floating leaf"/>
  </r>
  <r>
    <x v="5"/>
    <s v="Aliso Creek"/>
    <n v="901.13"/>
    <x v="3"/>
    <s v="Undetermined"/>
    <s v="Major MS4 Outfall"/>
    <s v="J01-9007-1 (J02P05)"/>
    <x v="0"/>
    <d v="2021-08-11T00:00:00"/>
    <x v="1"/>
    <s v="Undetermined"/>
    <n v="0.111628"/>
    <s v="cfs"/>
    <x v="0"/>
    <s v="Floating leaf"/>
  </r>
  <r>
    <x v="6"/>
    <s v="Aliso Creek"/>
    <n v="901.13"/>
    <x v="3"/>
    <m/>
    <s v="Major MS4 Outfall"/>
    <s v="J01-9005-1 (J03P05)"/>
    <x v="0"/>
    <d v="2021-08-17T00:00:00"/>
    <x v="1"/>
    <s v="Direct Connection"/>
    <n v="2.8549999999999999E-2"/>
    <s v="cfs"/>
    <x v="0"/>
    <s v="Floating leaf"/>
  </r>
  <r>
    <x v="5"/>
    <s v="Aliso Creek"/>
    <n v="901.13"/>
    <x v="3"/>
    <s v="Direct Connection"/>
    <s v="Major MS4 Outfall"/>
    <s v="J01-9008-1 (J01P30)"/>
    <x v="0"/>
    <d v="2021-08-17T00:00:00"/>
    <x v="1"/>
    <s v="Direct Connection"/>
    <n v="0.13146099999999999"/>
    <s v="cfs"/>
    <x v="0"/>
    <s v="Floating leaf"/>
  </r>
  <r>
    <x v="5"/>
    <s v="Aliso Creek"/>
    <n v="901.13"/>
    <x v="3"/>
    <s v="Undetermined"/>
    <s v="Major MS4 Outfall"/>
    <s v="J01-9007-1 (J02P05)"/>
    <x v="0"/>
    <d v="2021-08-17T00:00:00"/>
    <x v="1"/>
    <s v="Undetermined"/>
    <n v="8.3607000000000001E-2"/>
    <s v="cfs"/>
    <x v="0"/>
    <s v="Floating leaf"/>
  </r>
  <r>
    <x v="7"/>
    <s v="Aliso Creek"/>
    <n v="901.13"/>
    <x v="3"/>
    <s v="None - Flow Infiltrates or Outfall is Dry"/>
    <s v="Major MS4 Outfall"/>
    <s v="J01-9273-1"/>
    <x v="0"/>
    <d v="2021-08-31T00:00:00"/>
    <x v="2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10004-2"/>
    <x v="0"/>
    <d v="2021-09-07T00:00:00"/>
    <x v="1"/>
    <s v="Direct Connection"/>
    <n v="1.2800000000000001E-3"/>
    <s v="cfs"/>
    <x v="0"/>
    <s v="Floating leaf"/>
  </r>
  <r>
    <x v="5"/>
    <s v="Aliso Creek"/>
    <n v="901.13"/>
    <x v="3"/>
    <s v="Direct Connection"/>
    <s v="Major MS4 Outfall"/>
    <s v="J01-9992-1 (J01P27)"/>
    <x v="0"/>
    <d v="2021-09-07T00:00:00"/>
    <x v="1"/>
    <s v="Direct Connection"/>
    <n v="0.09"/>
    <s v="cfs"/>
    <x v="0"/>
    <m/>
  </r>
  <r>
    <x v="5"/>
    <s v="Aliso Creek"/>
    <n v="901.13"/>
    <x v="3"/>
    <s v="Undetermined"/>
    <s v="Major MS4 Outfall"/>
    <s v="J01-9082-2"/>
    <x v="0"/>
    <d v="2021-09-07T00:00:00"/>
    <x v="1"/>
    <s v="Undetermined"/>
    <n v="0.126"/>
    <s v="cfs"/>
    <x v="0"/>
    <s v="Floating leaf"/>
  </r>
  <r>
    <x v="4"/>
    <s v="Aliso Creek"/>
    <n v="901.13"/>
    <x v="3"/>
    <s v="None - Flow Infiltrates or Outfall is Dry"/>
    <s v="Major MS4 Outfall"/>
    <s v="J01-9782-1 (J01TBN3)"/>
    <x v="0"/>
    <d v="2021-09-07T00:00:00"/>
    <x v="0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785-1"/>
    <x v="0"/>
    <d v="2021-09-07T00:00:00"/>
    <x v="1"/>
    <s v="Direct Connection"/>
    <n v="1.2999999999999999E-2"/>
    <s v="cfs"/>
    <x v="0"/>
    <s v="Floating leaf"/>
  </r>
  <r>
    <x v="4"/>
    <s v="Aliso Creek"/>
    <n v="901.13"/>
    <x v="3"/>
    <s v="Direct Connection"/>
    <s v="Major MS4 Outfall"/>
    <s v="J01-9046-1"/>
    <x v="0"/>
    <d v="2021-09-07T00:00:00"/>
    <x v="1"/>
    <s v="Direct Connection"/>
    <n v="5.0000000000000001E-3"/>
    <s v="cfs"/>
    <x v="0"/>
    <s v="Floating leaf"/>
  </r>
  <r>
    <x v="5"/>
    <s v="Aliso Creek"/>
    <n v="901.13"/>
    <x v="3"/>
    <s v="Undetermined"/>
    <s v="Major MS4 Outfall"/>
    <s v="J01-9007-1 (J02P05)"/>
    <x v="0"/>
    <d v="2021-09-07T00:00:00"/>
    <x v="1"/>
    <s v="Undetermined"/>
    <n v="0.08"/>
    <s v="cfs"/>
    <x v="0"/>
    <m/>
  </r>
  <r>
    <x v="4"/>
    <s v="Aliso Creek"/>
    <n v="901.13"/>
    <x v="3"/>
    <s v="Direct Connection"/>
    <s v="Major MS4 Outfall"/>
    <s v="J01-9046-2"/>
    <x v="0"/>
    <d v="2021-09-07T00:00:00"/>
    <x v="1"/>
    <s v="Direct Connection"/>
    <n v="9.7710000000000002E-3"/>
    <s v="cfs"/>
    <x v="0"/>
    <s v="Floating leaf"/>
  </r>
  <r>
    <x v="4"/>
    <s v="Aliso Creek"/>
    <n v="901.13"/>
    <x v="3"/>
    <s v="Direct Connection"/>
    <s v="Major MS4 Outfall"/>
    <s v="J01-10004-1 (J01P01)"/>
    <x v="0"/>
    <d v="2021-09-07T00:00:00"/>
    <x v="1"/>
    <s v="Direct Connection"/>
    <n v="0.22"/>
    <s v="cfs"/>
    <x v="0"/>
    <s v="Floating leaf"/>
  </r>
  <r>
    <x v="4"/>
    <s v="Aliso Creek"/>
    <n v="901.13"/>
    <x v="3"/>
    <s v="Direct Connection"/>
    <s v="Major MS4 Outfall"/>
    <s v="J01-9349-1"/>
    <x v="0"/>
    <d v="2021-09-07T00:00:00"/>
    <x v="2"/>
    <s v="Direct Connection"/>
    <s v="NA"/>
    <s v="cfs"/>
    <x v="0"/>
    <m/>
  </r>
  <r>
    <x v="6"/>
    <s v="Aliso Creek"/>
    <n v="901.13"/>
    <x v="3"/>
    <s v="Direct Connection"/>
    <s v="Major MS4 Outfall"/>
    <s v="J01-9224-2 (J01P25)"/>
    <x v="0"/>
    <d v="2021-09-13T00:00:00"/>
    <x v="1"/>
    <s v="Direct Connection"/>
    <n v="0.06"/>
    <s v="cfs"/>
    <x v="0"/>
    <s v="Floating leaf"/>
  </r>
  <r>
    <x v="6"/>
    <s v="Aliso Creek"/>
    <n v="901.13"/>
    <x v="3"/>
    <s v="Direct Connection"/>
    <s v="Major MS4 Outfall"/>
    <s v="J01-9224-1 (J01P24)"/>
    <x v="0"/>
    <d v="2021-09-13T00:00:00"/>
    <x v="1"/>
    <s v="Direct Connection"/>
    <n v="1.5273E-2"/>
    <s v="cfs"/>
    <x v="0"/>
    <s v="Floating leaf"/>
  </r>
  <r>
    <x v="5"/>
    <s v="Aliso Creek"/>
    <n v="901.13"/>
    <x v="3"/>
    <s v="Direct Connection"/>
    <s v="Major MS4 Outfall"/>
    <s v="J01-9131-1 (J01P28)"/>
    <x v="0"/>
    <d v="2021-09-16T00:00:00"/>
    <x v="1"/>
    <s v="Direct Connection"/>
    <n v="7.4999999999999997E-2"/>
    <s v="cfs"/>
    <x v="0"/>
    <s v="Floating leaf"/>
  </r>
  <r>
    <x v="4"/>
    <s v="Aliso Creek"/>
    <n v="901.13"/>
    <x v="3"/>
    <s v="None - Flow Infiltrates or Outfall is Dry"/>
    <s v="Major MS4 Outfall"/>
    <s v="J01-9275-2"/>
    <x v="0"/>
    <d v="2021-09-22T00:00:00"/>
    <x v="0"/>
    <s v="None - Flow Infiltrates or Outfall is Dry"/>
    <s v="NA"/>
    <s v="cfs"/>
    <x v="0"/>
    <m/>
  </r>
  <r>
    <x v="4"/>
    <s v="Aliso Creek"/>
    <n v="901.13"/>
    <x v="3"/>
    <s v="Partial - Significant Distance"/>
    <s v="Major MS4 Outfall"/>
    <s v="J01-9264-1 (J01P06)"/>
    <x v="0"/>
    <d v="2021-09-22T00:00:00"/>
    <x v="2"/>
    <s v="Partial - Significant Distance"/>
    <n v="0"/>
    <s v="cfs"/>
    <x v="0"/>
    <s v="Volumetric"/>
  </r>
  <r>
    <x v="4"/>
    <s v="Aliso Creek"/>
    <n v="901.13"/>
    <x v="3"/>
    <s v="Direct Connection"/>
    <s v="Major MS4 Outfall"/>
    <s v="J01-9377-1"/>
    <x v="0"/>
    <d v="2021-09-22T00:00:00"/>
    <x v="1"/>
    <s v="Direct Connection"/>
    <n v="3.4290000000000002E-3"/>
    <s v="cfs"/>
    <x v="0"/>
    <m/>
  </r>
  <r>
    <x v="4"/>
    <s v="Aliso Creek"/>
    <n v="901.13"/>
    <x v="3"/>
    <s v="None - Flow Infiltrates or Outfall is Dry"/>
    <s v="Major MS4 Outfall"/>
    <s v="J01-9377-2 (J01TBN8)"/>
    <x v="0"/>
    <d v="2021-09-22T00:00:00"/>
    <x v="0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040-1"/>
    <x v="1"/>
    <d v="2022-04-07T00:00:00"/>
    <x v="1"/>
    <s v="Direct Connection"/>
    <n v="0.48125000000000001"/>
    <s v="cfs"/>
    <x v="0"/>
    <s v="Floating leaf"/>
  </r>
  <r>
    <x v="4"/>
    <s v="Aliso Creek"/>
    <n v="901.13"/>
    <x v="3"/>
    <s v="Direct Connection"/>
    <s v="Major MS4 Outfall"/>
    <s v="J01-9040-1"/>
    <x v="1"/>
    <d v="2022-04-14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9040-1"/>
    <x v="1"/>
    <d v="2022-04-21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9040-1"/>
    <x v="1"/>
    <d v="2022-05-12T00:00:00"/>
    <x v="1"/>
    <s v="Direct Connection"/>
    <n v="0.86789499999999997"/>
    <s v="cfs"/>
    <x v="0"/>
    <s v="Floating leaf"/>
  </r>
  <r>
    <x v="4"/>
    <s v="Aliso Creek"/>
    <n v="901.13"/>
    <x v="3"/>
    <s v="None - Flow Infiltrates or Outfall is Dry"/>
    <s v="Major MS4 Outfall"/>
    <s v="J01-9040-1"/>
    <x v="1"/>
    <d v="2022-05-19T00:00:00"/>
    <x v="2"/>
    <s v="None - Flow Infiltrates or Outfall is Dry"/>
    <s v="NA"/>
    <s v="cfs"/>
    <x v="0"/>
    <m/>
  </r>
  <r>
    <x v="7"/>
    <s v="Aliso Creek"/>
    <n v="901.13"/>
    <x v="3"/>
    <s v="None - Flow Infiltrates or Outfall is Dry"/>
    <s v="Major MS4 Outfall"/>
    <s v="J01-9273-1"/>
    <x v="1"/>
    <d v="2022-06-14T00:00:00"/>
    <x v="2"/>
    <s v="None - Flow Infiltrates or Outfall is Dry"/>
    <s v="NA"/>
    <s v="cfs"/>
    <x v="0"/>
    <m/>
  </r>
  <r>
    <x v="6"/>
    <s v="Aliso Creek"/>
    <n v="901.13"/>
    <x v="3"/>
    <s v="Direct Connection"/>
    <s v="Major MS4 Outfall"/>
    <s v="J01-9224-2 (J01P25)"/>
    <x v="1"/>
    <d v="2022-06-15T00:00:00"/>
    <x v="1"/>
    <s v="Direct Connection"/>
    <n v="7.3499999999999996E-2"/>
    <s v="cfs"/>
    <x v="0"/>
    <s v="Floating leaf"/>
  </r>
  <r>
    <x v="6"/>
    <s v="Aliso Creek"/>
    <n v="901.13"/>
    <x v="3"/>
    <s v="Direct Connection"/>
    <s v="Major MS4 Outfall"/>
    <s v="J01-9224-1 (J01P24)"/>
    <x v="1"/>
    <d v="2022-06-15T00:00:00"/>
    <x v="1"/>
    <s v="Direct Connection"/>
    <n v="1.0833000000000001E-2"/>
    <s v="cfs"/>
    <x v="0"/>
    <s v="Floating leaf"/>
  </r>
  <r>
    <x v="4"/>
    <s v="Aliso Creek"/>
    <n v="901.13"/>
    <x v="3"/>
    <s v="Partial - Significant Distance"/>
    <s v="Major MS4 Outfall"/>
    <s v="J01-10004-2"/>
    <x v="1"/>
    <d v="2022-06-21T00:00:00"/>
    <x v="2"/>
    <s v="Partial - Significant Distance"/>
    <s v="NA"/>
    <s v="cfs"/>
    <x v="0"/>
    <m/>
  </r>
  <r>
    <x v="3"/>
    <s v="Aliso Creek"/>
    <n v="901.13"/>
    <x v="3"/>
    <s v="Direct Connection"/>
    <s v="Major MS4 Outfall"/>
    <s v="J01-9066-2 (J01P03)"/>
    <x v="1"/>
    <d v="2022-06-21T00:00:00"/>
    <x v="1"/>
    <s v="Direct Connection"/>
    <s v="NA"/>
    <s v="cfs"/>
    <x v="0"/>
    <s v="Floating leaf"/>
  </r>
  <r>
    <x v="4"/>
    <s v="Aliso Creek"/>
    <n v="901.13"/>
    <x v="3"/>
    <s v="None - Flow Infiltrates or Outfall is Dry"/>
    <s v="Major MS4 Outfall"/>
    <s v="J01-10006-1"/>
    <x v="1"/>
    <d v="2022-06-21T00:00:00"/>
    <x v="2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259-3"/>
    <x v="1"/>
    <d v="2022-06-21T00:00:00"/>
    <x v="2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782-1 (J01TBN3)"/>
    <x v="1"/>
    <d v="2022-06-21T00:00:00"/>
    <x v="2"/>
    <s v="Direct Connection"/>
    <s v="NA"/>
    <s v="cfs"/>
    <x v="0"/>
    <m/>
  </r>
  <r>
    <x v="4"/>
    <s v="Aliso Creek"/>
    <n v="901.13"/>
    <x v="3"/>
    <s v="None - Flow Infiltrates or Outfall is Dry"/>
    <s v="Major MS4 Outfall"/>
    <s v="J01-9275-2"/>
    <x v="1"/>
    <d v="2022-06-21T00:00:00"/>
    <x v="0"/>
    <s v="None - Flow Infiltrates or Outfall is Dry"/>
    <s v="NA"/>
    <s v="cfs"/>
    <x v="0"/>
    <m/>
  </r>
  <r>
    <x v="4"/>
    <s v="Aliso Creek"/>
    <n v="901.13"/>
    <x v="3"/>
    <s v="Partial - Significant Distance"/>
    <s v="Major MS4 Outfall"/>
    <s v="J01-9031-1"/>
    <x v="1"/>
    <d v="2022-06-21T00:00:00"/>
    <x v="2"/>
    <s v="Partial - Significant Distance"/>
    <s v="NA"/>
    <s v="cfs"/>
    <x v="0"/>
    <m/>
  </r>
  <r>
    <x v="4"/>
    <s v="Aliso Creek"/>
    <n v="901.13"/>
    <x v="3"/>
    <s v="Direct Connection"/>
    <s v="Major MS4 Outfall"/>
    <s v="J01-9046-1"/>
    <x v="1"/>
    <d v="2022-06-21T00:00:00"/>
    <x v="2"/>
    <s v="Direct Connection"/>
    <s v="NA"/>
    <s v="cfs"/>
    <x v="0"/>
    <m/>
  </r>
  <r>
    <x v="3"/>
    <s v="Aliso Creek"/>
    <n v="901.13"/>
    <x v="3"/>
    <s v="Direct Connection"/>
    <s v="Major MS4 Outfall"/>
    <s v="J01-9066-1 (J01P04)"/>
    <x v="1"/>
    <d v="2022-06-21T00:00:00"/>
    <x v="1"/>
    <s v="Direct Connection"/>
    <n v="1E-3"/>
    <s v="cfs"/>
    <x v="0"/>
    <s v="Volumetric"/>
  </r>
  <r>
    <x v="4"/>
    <s v="Aliso Creek"/>
    <n v="901.13"/>
    <x v="3"/>
    <s v="Direct Connection"/>
    <s v="Major MS4 Outfall"/>
    <s v="J01-9377-1"/>
    <x v="1"/>
    <d v="2022-06-21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9046-2"/>
    <x v="1"/>
    <d v="2022-06-21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10004-1 (J01P01)"/>
    <x v="1"/>
    <d v="2022-06-21T00:00:00"/>
    <x v="1"/>
    <s v="Direct Connection"/>
    <n v="0.13333300000000001"/>
    <s v="cfs"/>
    <x v="0"/>
    <s v="Floating leaf"/>
  </r>
  <r>
    <x v="4"/>
    <s v="Aliso Creek"/>
    <n v="901.13"/>
    <x v="3"/>
    <s v="None - Flow Infiltrates or Outfall is Dry"/>
    <s v="Major MS4 Outfall"/>
    <s v="J01-9377-2 (J01TBN8)"/>
    <x v="1"/>
    <d v="2022-06-21T00:00:00"/>
    <x v="0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349-1"/>
    <x v="1"/>
    <d v="2022-06-21T00:00:00"/>
    <x v="2"/>
    <s v="Direct Connection"/>
    <s v="NA"/>
    <s v="cfs"/>
    <x v="0"/>
    <m/>
  </r>
  <r>
    <x v="5"/>
    <s v="Aliso Creek"/>
    <n v="901.13"/>
    <x v="3"/>
    <s v="Direct Connection"/>
    <s v="Major MS4 Outfall"/>
    <s v="J01-9992-1 (J01P27)"/>
    <x v="1"/>
    <d v="2022-06-23T00:00:00"/>
    <x v="1"/>
    <s v="Direct Connection"/>
    <n v="3.9615999999999998E-2"/>
    <s v="cfs"/>
    <x v="0"/>
    <s v="Floating leaf"/>
  </r>
  <r>
    <x v="5"/>
    <s v="Aliso Creek"/>
    <n v="901.13"/>
    <x v="3"/>
    <s v="Direct Connection"/>
    <s v="Major MS4 Outfall"/>
    <s v="J01-9082-2"/>
    <x v="1"/>
    <d v="2022-06-23T00:00:00"/>
    <x v="1"/>
    <s v="Direct Connection"/>
    <n v="0.1"/>
    <s v="cfs"/>
    <x v="0"/>
    <s v="Floating leaf"/>
  </r>
  <r>
    <x v="5"/>
    <s v="Aliso Creek"/>
    <n v="901.13"/>
    <x v="3"/>
    <s v="None - Flow Infiltrates or Outfall is Dry"/>
    <s v="Major MS4 Outfall"/>
    <s v="J01-9082-3"/>
    <x v="1"/>
    <d v="2022-06-23T00:00:00"/>
    <x v="0"/>
    <s v="None - Flow Infiltrates or Outfall is Dry"/>
    <s v="NA"/>
    <s v="cfs"/>
    <x v="0"/>
    <m/>
  </r>
  <r>
    <x v="5"/>
    <s v="Aliso Creek"/>
    <n v="901.13"/>
    <x v="3"/>
    <s v="Direct Connection"/>
    <s v="Major MS4 Outfall"/>
    <s v="J01-9082-4"/>
    <x v="1"/>
    <d v="2022-06-23T00:00:00"/>
    <x v="1"/>
    <s v="Direct Connection"/>
    <n v="1.44E-2"/>
    <s v="cfs"/>
    <x v="0"/>
    <s v="Floating leaf"/>
  </r>
  <r>
    <x v="5"/>
    <s v="Aliso Creek"/>
    <n v="901.13"/>
    <x v="3"/>
    <s v="Undetermined"/>
    <s v="Major MS4 Outfall"/>
    <s v="J01-9007-1 (J02P05)"/>
    <x v="1"/>
    <d v="2022-06-23T00:00:00"/>
    <x v="1"/>
    <s v="Undetermined"/>
    <n v="2.5000000000000001E-2"/>
    <s v="cfs"/>
    <x v="0"/>
    <s v="Volumetric"/>
  </r>
  <r>
    <x v="5"/>
    <s v="Aliso Creek"/>
    <n v="901.13"/>
    <x v="3"/>
    <s v="Direct Connection"/>
    <s v="Major MS4 Outfall"/>
    <s v="J01-9131-1 (J01P28)"/>
    <x v="1"/>
    <d v="2022-06-23T00:00:00"/>
    <x v="1"/>
    <s v="Direct Connection"/>
    <n v="0.03"/>
    <s v="cfs"/>
    <x v="0"/>
    <s v="Floating leaf"/>
  </r>
  <r>
    <x v="5"/>
    <s v="Aliso Creek"/>
    <n v="901.13"/>
    <x v="3"/>
    <s v="Direct Connection"/>
    <s v="Major MS4 Outfall"/>
    <s v="J01-9008-1 (J01P30)"/>
    <x v="1"/>
    <d v="2022-06-28T00:00:00"/>
    <x v="1"/>
    <s v="Direct Connection"/>
    <n v="7.0000000000000001E-3"/>
    <s v="cfs"/>
    <x v="0"/>
    <s v="Volumetric"/>
  </r>
  <r>
    <x v="6"/>
    <s v="Aliso Creek"/>
    <n v="901.13"/>
    <x v="3"/>
    <s v="Direct Connection"/>
    <s v="Major MS4 Outfall"/>
    <s v="J01-9144-1 (J01P23)"/>
    <x v="1"/>
    <d v="2022-06-28T00:00:00"/>
    <x v="1"/>
    <s v="Direct Connection"/>
    <n v="1E-3"/>
    <s v="cfs"/>
    <x v="0"/>
    <s v="Volumetric"/>
  </r>
  <r>
    <x v="0"/>
    <s v="Aliso Creek"/>
    <n v="901.13"/>
    <x v="3"/>
    <s v="None - Flow Infiltrates or Outfall is Dry"/>
    <s v="Major MS4 Outfall"/>
    <s v="J01-9364-4"/>
    <x v="1"/>
    <d v="2022-06-28T00:00:00"/>
    <x v="0"/>
    <s v="None - Flow Infiltrates or Outfall is Dry"/>
    <s v="NA"/>
    <s v="cfs"/>
    <x v="0"/>
    <m/>
  </r>
  <r>
    <x v="0"/>
    <s v="Aliso Creek"/>
    <n v="901.13"/>
    <x v="3"/>
    <s v="Direct Connection"/>
    <s v="Major MS4 Outfall"/>
    <s v="J01-9364-3 (J01P21)"/>
    <x v="1"/>
    <d v="2022-06-28T00:00:00"/>
    <x v="2"/>
    <s v="Direct Connection"/>
    <s v="NA"/>
    <s v="cfs"/>
    <x v="0"/>
    <m/>
  </r>
  <r>
    <x v="5"/>
    <s v="Aliso Creek"/>
    <n v="901.13"/>
    <x v="3"/>
    <s v="None - Flow Infiltrates or Outfall is Dry"/>
    <s v="Major MS4 Outfall"/>
    <s v="J01-10017-1 (J01TBN4)"/>
    <x v="1"/>
    <d v="2022-06-28T00:00:00"/>
    <x v="1"/>
    <s v="None - Flow Infiltrates or Outfall is Dry"/>
    <n v="4.0000000000000001E-3"/>
    <s v="cfs"/>
    <x v="0"/>
    <s v="Volumetric"/>
  </r>
  <r>
    <x v="6"/>
    <s v="Aliso Creek"/>
    <n v="901.13"/>
    <x v="3"/>
    <m/>
    <s v="Major MS4 Outfall"/>
    <s v="J01-10041-2 (J03P13)"/>
    <x v="1"/>
    <d v="2022-06-28T00:00:00"/>
    <x v="2"/>
    <s v="Partial - Significant Distance"/>
    <s v="NA"/>
    <s v="cfs"/>
    <x v="0"/>
    <m/>
  </r>
  <r>
    <x v="4"/>
    <s v="Aliso Creek"/>
    <n v="901.13"/>
    <x v="3"/>
    <s v="Partial - Significant Distance"/>
    <s v="Major MS4 Outfall"/>
    <s v="J01-9264-1 (J01P06)"/>
    <x v="1"/>
    <d v="2022-06-30T00:00:00"/>
    <x v="2"/>
    <s v="Partial - Significant Distance"/>
    <n v="0"/>
    <s v="cfs"/>
    <x v="0"/>
    <s v="Volumetric"/>
  </r>
  <r>
    <x v="4"/>
    <s v="Aliso Creek"/>
    <n v="901.13"/>
    <x v="3"/>
    <s v="None - Flow Infiltrates or Outfall is Dry"/>
    <s v="Major MS4 Outfall"/>
    <s v="J01-9046-1"/>
    <x v="1"/>
    <d v="2022-06-30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046-1"/>
    <x v="1"/>
    <d v="2022-06-30T00:00:00"/>
    <x v="0"/>
    <s v="None - Flow Infiltrates or Outfall is Dry"/>
    <n v="0"/>
    <s v="cfs"/>
    <x v="0"/>
    <s v="Volumetric"/>
  </r>
  <r>
    <x v="4"/>
    <s v="Aliso Creek"/>
    <n v="901.13"/>
    <x v="3"/>
    <s v="None - Flow Infiltrates or Outfall is Dry"/>
    <s v="Major MS4 Outfall"/>
    <s v="J01-9377-1"/>
    <x v="1"/>
    <d v="2022-06-30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377-1"/>
    <x v="1"/>
    <d v="2022-06-30T00:00:00"/>
    <x v="0"/>
    <s v="None - Flow Infiltrates or Outfall is Dry"/>
    <n v="0"/>
    <s v="cfs"/>
    <x v="0"/>
    <s v="Volumetric"/>
  </r>
  <r>
    <x v="4"/>
    <s v="Aliso Creek"/>
    <n v="901.13"/>
    <x v="3"/>
    <s v="Direct Connection"/>
    <s v="Major MS4 Outfall"/>
    <s v="J01-9046-2"/>
    <x v="1"/>
    <d v="2022-06-30T00:00:00"/>
    <x v="1"/>
    <s v="Direct Connection"/>
    <n v="0"/>
    <s v="cfs"/>
    <x v="0"/>
    <s v="Volumetric"/>
  </r>
  <r>
    <x v="4"/>
    <s v="Aliso Creek"/>
    <n v="901.13"/>
    <x v="3"/>
    <s v="Direct Connection"/>
    <s v="Major MS4 Outfall"/>
    <s v="J01-10004-1 (J01P01)"/>
    <x v="1"/>
    <d v="2022-06-30T00:00:00"/>
    <x v="1"/>
    <s v="Direct Connection"/>
    <n v="2.5999999999999999E-2"/>
    <s v="cfs"/>
    <x v="0"/>
    <s v="Volumetric"/>
  </r>
  <r>
    <x v="4"/>
    <s v="Aliso Creek"/>
    <n v="901.13"/>
    <x v="3"/>
    <s v="Direct Connection"/>
    <s v="Major MS4 Outfall"/>
    <s v="J01-10004-1 (J01P01)"/>
    <x v="1"/>
    <d v="2022-06-30T00:00:00"/>
    <x v="1"/>
    <s v="Direct Connection"/>
    <n v="8.4000000000000005E-2"/>
    <s v="cfs"/>
    <x v="0"/>
    <s v="Volumetric"/>
  </r>
  <r>
    <x v="4"/>
    <s v="Aliso Creek"/>
    <n v="901.13"/>
    <x v="3"/>
    <s v="None - Flow Infiltrates or Outfall is Dry"/>
    <s v="Major MS4 Outfall"/>
    <s v="J01-9349-1"/>
    <x v="1"/>
    <d v="2022-06-30T00:00:00"/>
    <x v="0"/>
    <s v="None - Flow Infiltrates or Outfall is Dry"/>
    <n v="0"/>
    <s v="cfs"/>
    <x v="0"/>
    <s v="Volumetric"/>
  </r>
  <r>
    <x v="3"/>
    <s v="Aliso Creek"/>
    <n v="901.13"/>
    <x v="3"/>
    <s v="Direct Connection"/>
    <s v="Major MS4 Outfall"/>
    <s v="J01-9066-2 (J01P03)"/>
    <x v="1"/>
    <d v="2022-07-01T00:00:00"/>
    <x v="1"/>
    <s v="Direct Connection"/>
    <n v="2E-3"/>
    <s v="cfs"/>
    <x v="0"/>
    <s v="Volumetric"/>
  </r>
  <r>
    <x v="3"/>
    <s v="Aliso Creek"/>
    <n v="901.13"/>
    <x v="3"/>
    <s v="Direct Connection"/>
    <s v="Major MS4 Outfall"/>
    <s v="J01-9066-2 (J01P03)"/>
    <x v="1"/>
    <d v="2022-07-01T00:00:00"/>
    <x v="1"/>
    <s v="Direct Connection"/>
    <n v="2E-3"/>
    <s v="cfs"/>
    <x v="0"/>
    <s v="Volumetric"/>
  </r>
  <r>
    <x v="5"/>
    <s v="Aliso Creek"/>
    <n v="901.13"/>
    <x v="3"/>
    <s v="Direct Connection"/>
    <s v="Major MS4 Outfall"/>
    <s v="J01-9992-1 (J01P27)"/>
    <x v="1"/>
    <d v="2022-07-01T00:00:00"/>
    <x v="1"/>
    <s v="Direct Connection"/>
    <n v="1E-3"/>
    <s v="cfs"/>
    <x v="0"/>
    <s v="Volumetric"/>
  </r>
  <r>
    <x v="5"/>
    <s v="Aliso Creek"/>
    <n v="901.13"/>
    <x v="3"/>
    <s v="Direct Connection"/>
    <s v="Major MS4 Outfall"/>
    <s v="J01-9992-1 (J01P27)"/>
    <x v="1"/>
    <d v="2022-07-01T00:00:00"/>
    <x v="1"/>
    <s v="Direct Connection"/>
    <n v="0"/>
    <s v="cfs"/>
    <x v="0"/>
    <s v="Volumetric"/>
  </r>
  <r>
    <x v="5"/>
    <s v="Aliso Creek"/>
    <n v="901.13"/>
    <x v="3"/>
    <s v="Direct Connection"/>
    <s v="Major MS4 Outfall"/>
    <s v="J01-9008-1 (J01P30)"/>
    <x v="1"/>
    <d v="2022-07-01T00:00:00"/>
    <x v="1"/>
    <s v="Direct Connection"/>
    <n v="1.2999999999999999E-2"/>
    <s v="cfs"/>
    <x v="0"/>
    <s v="Volumetric"/>
  </r>
  <r>
    <x v="5"/>
    <s v="Aliso Creek"/>
    <n v="901.13"/>
    <x v="3"/>
    <s v="Direct Connection"/>
    <s v="Major MS4 Outfall"/>
    <s v="J01-9008-1 (J01P30)"/>
    <x v="1"/>
    <d v="2022-07-01T00:00:00"/>
    <x v="1"/>
    <s v="Direct Connection"/>
    <n v="0.02"/>
    <s v="cfs"/>
    <x v="0"/>
    <s v="Volumetric"/>
  </r>
  <r>
    <x v="3"/>
    <s v="Aliso Creek"/>
    <n v="901.13"/>
    <x v="3"/>
    <s v="Direct Connection"/>
    <s v="Major MS4 Outfall"/>
    <s v="J01-9066-1 (J01P04)"/>
    <x v="1"/>
    <d v="2022-07-01T00:00:00"/>
    <x v="1"/>
    <s v="Direct Connection"/>
    <n v="0"/>
    <s v="cfs"/>
    <x v="0"/>
    <s v="Volumetric"/>
  </r>
  <r>
    <x v="5"/>
    <s v="Aliso Creek"/>
    <n v="901.13"/>
    <x v="3"/>
    <s v="None - Flow Infiltrates or Outfall is Dry"/>
    <s v="Major MS4 Outfall"/>
    <s v="J01-9131-1 (J01P28)"/>
    <x v="1"/>
    <d v="2022-07-01T00:00:00"/>
    <x v="0"/>
    <s v="None - Flow Infiltrates or Outfall is Dry"/>
    <n v="0"/>
    <s v="cfs"/>
    <x v="0"/>
    <s v="Volumetric"/>
  </r>
  <r>
    <x v="7"/>
    <s v="Aliso Creek"/>
    <n v="901.13"/>
    <x v="3"/>
    <s v="None - Flow Infiltrates or Outfall is Dry"/>
    <s v="Major MS4 Outfall"/>
    <s v="J01-9273-1"/>
    <x v="1"/>
    <d v="2022-07-01T00:00:00"/>
    <x v="2"/>
    <s v="None - Flow Infiltrates or Outfall is Dry"/>
    <s v="NA"/>
    <s v="cfs"/>
    <x v="0"/>
    <m/>
  </r>
  <r>
    <x v="7"/>
    <s v="Aliso Creek"/>
    <n v="901.13"/>
    <x v="3"/>
    <s v="None - Flow Infiltrates or Outfall is Dry"/>
    <s v="Major MS4 Outfall"/>
    <s v="J01-9273-1"/>
    <x v="1"/>
    <d v="2022-07-01T00:00:00"/>
    <x v="2"/>
    <s v="None - Flow Infiltrates or Outfall is Dry"/>
    <n v="0"/>
    <s v="cfs"/>
    <x v="0"/>
    <s v="Volumetric"/>
  </r>
  <r>
    <x v="6"/>
    <s v="Aliso Creek"/>
    <n v="901.13"/>
    <x v="3"/>
    <m/>
    <s v="Major MS4 Outfall"/>
    <s v="J01-9005-1 (J03P05)"/>
    <x v="1"/>
    <d v="2022-07-08T00:00:00"/>
    <x v="1"/>
    <s v="Direct Connection"/>
    <n v="6.0000000000000001E-3"/>
    <s v="cfs"/>
    <x v="0"/>
    <s v="Volumetric"/>
  </r>
  <r>
    <x v="6"/>
    <s v="Aliso Creek"/>
    <n v="901.13"/>
    <x v="3"/>
    <m/>
    <s v="Major MS4 Outfall"/>
    <s v="J01-9005-3"/>
    <x v="1"/>
    <d v="2022-07-08T00:00:00"/>
    <x v="1"/>
    <s v="Direct Connection"/>
    <s v="NA"/>
    <s v="cfs"/>
    <x v="0"/>
    <m/>
  </r>
  <r>
    <x v="0"/>
    <s v="Aliso Creek"/>
    <n v="901.13"/>
    <x v="3"/>
    <s v="Direct Connection"/>
    <s v="Major MS4 Outfall"/>
    <s v="J01-9364-3 (J01P21)"/>
    <x v="1"/>
    <d v="2022-07-08T00:00:00"/>
    <x v="2"/>
    <s v="Direct Connection"/>
    <n v="0"/>
    <s v="cfs"/>
    <x v="0"/>
    <s v="Volumetric"/>
  </r>
  <r>
    <x v="5"/>
    <s v="Aliso Creek"/>
    <n v="901.13"/>
    <x v="3"/>
    <s v="Direct Connection"/>
    <s v="Major MS4 Outfall"/>
    <s v="J01-9082-2"/>
    <x v="1"/>
    <d v="2022-07-13T00:00:00"/>
    <x v="1"/>
    <s v="Direct Connection"/>
    <n v="1.0999999999999999E-2"/>
    <s v="cfs"/>
    <x v="0"/>
    <s v="Volumetric"/>
  </r>
  <r>
    <x v="5"/>
    <s v="Aliso Creek"/>
    <n v="901.13"/>
    <x v="3"/>
    <s v="Direct Connection"/>
    <s v="Major MS4 Outfall"/>
    <s v="J01-9082-2"/>
    <x v="1"/>
    <d v="2022-07-13T00:00:00"/>
    <x v="1"/>
    <s v="Direct Connection"/>
    <n v="1.2999999999999999E-2"/>
    <s v="cfs"/>
    <x v="0"/>
    <s v="Volumetric"/>
  </r>
  <r>
    <x v="5"/>
    <s v="Aliso Creek"/>
    <n v="901.13"/>
    <x v="3"/>
    <s v="None - Flow Infiltrates or Outfall is Dry"/>
    <s v="Major MS4 Outfall"/>
    <s v="J01-9082-3"/>
    <x v="1"/>
    <d v="2022-07-13T00:00:00"/>
    <x v="0"/>
    <s v="None - Flow Infiltrates or Outfall is Dry"/>
    <s v="NA"/>
    <s v="cfs"/>
    <x v="0"/>
    <m/>
  </r>
  <r>
    <x v="5"/>
    <s v="Aliso Creek"/>
    <n v="901.13"/>
    <x v="3"/>
    <s v="Direct Connection"/>
    <s v="Major MS4 Outfall"/>
    <s v="J01-9082-4"/>
    <x v="1"/>
    <d v="2022-07-13T00:00:00"/>
    <x v="1"/>
    <s v="Direct Connection"/>
    <n v="0"/>
    <s v="cfs"/>
    <x v="0"/>
    <s v="Volumetric"/>
  </r>
  <r>
    <x v="5"/>
    <s v="Aliso Creek"/>
    <n v="901.13"/>
    <x v="3"/>
    <s v="Direct Connection"/>
    <s v="Major MS4 Outfall"/>
    <s v="J01-9082-4"/>
    <x v="1"/>
    <d v="2022-07-13T00:00:00"/>
    <x v="1"/>
    <s v="Direct Connection"/>
    <n v="1E-3"/>
    <s v="cfs"/>
    <x v="0"/>
    <s v="Volumetric"/>
  </r>
  <r>
    <x v="6"/>
    <s v="Aliso Creek"/>
    <n v="901.13"/>
    <x v="3"/>
    <s v="Direct Connection"/>
    <s v="Major MS4 Outfall"/>
    <s v="J01-9224-2 (J01P25)"/>
    <x v="1"/>
    <d v="2022-07-13T00:00:00"/>
    <x v="1"/>
    <s v="Direct Connection"/>
    <n v="7.3499999999999996E-2"/>
    <s v="cfs"/>
    <x v="0"/>
    <s v="Floating leaf"/>
  </r>
  <r>
    <x v="5"/>
    <s v="Aliso Creek"/>
    <n v="901.13"/>
    <x v="3"/>
    <s v="Direct Connection"/>
    <s v="Major MS4 Outfall"/>
    <s v="J01-10019-1 (J01P33)"/>
    <x v="1"/>
    <d v="2022-07-13T00:00:00"/>
    <x v="1"/>
    <s v="Direct Connection"/>
    <n v="0"/>
    <s v="cfs"/>
    <x v="0"/>
    <s v="Volumetric"/>
  </r>
  <r>
    <x v="5"/>
    <s v="Aliso Creek"/>
    <n v="901.13"/>
    <x v="3"/>
    <s v="Unsafe to Access"/>
    <s v="Major MS4 Outfall"/>
    <s v="J01-9007-1 (J02P05)"/>
    <x v="1"/>
    <d v="2022-07-13T00:00:00"/>
    <x v="1"/>
    <s v="Unsafe to Access"/>
    <n v="8.0000000000000002E-3"/>
    <s v="cfs"/>
    <x v="0"/>
    <s v="Volumetric"/>
  </r>
  <r>
    <x v="5"/>
    <s v="Aliso Creek"/>
    <n v="901.13"/>
    <x v="3"/>
    <s v="Unsafe to Access"/>
    <s v="Major MS4 Outfall"/>
    <s v="J01-9007-1 (J02P05)"/>
    <x v="1"/>
    <d v="2022-07-13T00:00:00"/>
    <x v="1"/>
    <s v="Unsafe to Access"/>
    <n v="2.1999999999999999E-2"/>
    <s v="cfs"/>
    <x v="0"/>
    <s v="Volumetric"/>
  </r>
  <r>
    <x v="6"/>
    <s v="Aliso Creek"/>
    <n v="901.13"/>
    <x v="3"/>
    <s v="Direct Connection"/>
    <s v="Major MS4 Outfall"/>
    <s v="J01-9144-1 (J01P23)"/>
    <x v="1"/>
    <d v="2022-07-13T00:00:00"/>
    <x v="1"/>
    <s v="Direct Connection"/>
    <n v="0"/>
    <s v="cfs"/>
    <x v="0"/>
    <s v="Volumetric"/>
  </r>
  <r>
    <x v="5"/>
    <s v="Aliso Creek"/>
    <n v="901.13"/>
    <x v="3"/>
    <s v="None - Flow Infiltrates or Outfall is Dry"/>
    <s v="Major MS4 Outfall"/>
    <s v="J01-9144-4 (J01P26)"/>
    <x v="1"/>
    <d v="2022-07-13T00:00:00"/>
    <x v="2"/>
    <s v="None - Flow Infiltrates or Outfall is Dry"/>
    <s v="NA"/>
    <s v="cfs"/>
    <x v="0"/>
    <m/>
  </r>
  <r>
    <x v="5"/>
    <s v="Aliso Creek"/>
    <n v="901.13"/>
    <x v="3"/>
    <s v="None - Flow Infiltrates or Outfall is Dry"/>
    <s v="Major MS4 Outfall"/>
    <s v="J01-9144-4 (J01P26)"/>
    <x v="1"/>
    <d v="2022-07-13T00:00:00"/>
    <x v="2"/>
    <s v="None - Flow Infiltrates or Outfall is Dry"/>
    <n v="0"/>
    <s v="cfs"/>
    <x v="0"/>
    <s v="Volumetric"/>
  </r>
  <r>
    <x v="5"/>
    <s v="Aliso Creek"/>
    <n v="901.13"/>
    <x v="3"/>
    <s v="Direct Connection"/>
    <s v="Major MS4 Outfall"/>
    <s v="J01-10017-1 (J01TBN4)"/>
    <x v="1"/>
    <d v="2022-07-13T00:00:00"/>
    <x v="1"/>
    <s v="Direct Connection"/>
    <n v="2E-3"/>
    <s v="cfs"/>
    <x v="0"/>
    <s v="Volumetric"/>
  </r>
  <r>
    <x v="6"/>
    <s v="Aliso Creek"/>
    <n v="901.13"/>
    <x v="3"/>
    <s v="Direct Connection"/>
    <s v="Major MS4 Outfall"/>
    <s v="J01-9224-1 (J01P24)"/>
    <x v="1"/>
    <d v="2022-07-13T00:00:00"/>
    <x v="2"/>
    <s v="Direct Connection"/>
    <n v="6.0000000000000001E-3"/>
    <s v="cfs"/>
    <x v="0"/>
    <s v="Volumetric"/>
  </r>
  <r>
    <x v="6"/>
    <s v="Aliso Creek"/>
    <n v="901.13"/>
    <x v="3"/>
    <s v="Direct Connection"/>
    <s v="Major MS4 Outfall"/>
    <s v="J01-9224-1 (J01P24)"/>
    <x v="1"/>
    <d v="2022-07-13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9785-1"/>
    <x v="1"/>
    <d v="2022-08-01T00:00:00"/>
    <x v="1"/>
    <s v="Direct Connection"/>
    <n v="4.5830000000000003E-3"/>
    <s v="cfs"/>
    <x v="0"/>
    <s v="Floating leaf"/>
  </r>
  <r>
    <x v="3"/>
    <s v="Aliso Creek"/>
    <n v="901.13"/>
    <x v="3"/>
    <s v="Direct Connection"/>
    <s v="Major MS4 Outfall"/>
    <s v="J01-9066-2 (J01P03)"/>
    <x v="1"/>
    <d v="2022-08-09T00:00:00"/>
    <x v="1"/>
    <s v="Direct Connection"/>
    <n v="1.4999999999999999E-2"/>
    <s v="cfs"/>
    <x v="0"/>
    <s v="Volumetric"/>
  </r>
  <r>
    <x v="4"/>
    <s v="Aliso Creek"/>
    <n v="901.13"/>
    <x v="3"/>
    <s v="Direct Connection"/>
    <s v="Major MS4 Outfall"/>
    <s v="J01-10006-1"/>
    <x v="1"/>
    <d v="2022-08-09T00:00:00"/>
    <x v="2"/>
    <s v="Direct Connection"/>
    <s v="NA"/>
    <s v="cfs"/>
    <x v="0"/>
    <m/>
  </r>
  <r>
    <x v="4"/>
    <s v="Aliso Creek"/>
    <n v="901.13"/>
    <x v="3"/>
    <s v="None - Flow Infiltrates or Outfall is Dry"/>
    <s v="Major MS4 Outfall"/>
    <s v="J01-9259-3"/>
    <x v="1"/>
    <d v="2022-08-09T00:00:00"/>
    <x v="4"/>
    <s v="None - Flow Infiltrates or Outfall is Dry"/>
    <n v="1.3396E-2"/>
    <s v="cfs"/>
    <x v="0"/>
    <m/>
  </r>
  <r>
    <x v="3"/>
    <s v="Aliso Creek"/>
    <n v="901.13"/>
    <x v="3"/>
    <s v="Direct Connection"/>
    <s v="Major MS4 Outfall"/>
    <s v="J01-9066-1 (J01P04)"/>
    <x v="1"/>
    <d v="2022-08-09T00:00:00"/>
    <x v="1"/>
    <s v="Direct Connection"/>
    <n v="7.0000000000000001E-3"/>
    <s v="cfs"/>
    <x v="0"/>
    <s v="Volumetric"/>
  </r>
  <r>
    <x v="4"/>
    <s v="Aliso Creek"/>
    <n v="901.13"/>
    <x v="3"/>
    <s v="Partial - Significant Distance"/>
    <s v="Major MS4 Outfall"/>
    <s v="J01-10004-2"/>
    <x v="1"/>
    <d v="2022-08-18T00:00:00"/>
    <x v="2"/>
    <s v="Partial - Significant Distance"/>
    <s v="NA"/>
    <s v="cfs"/>
    <x v="0"/>
    <m/>
  </r>
  <r>
    <x v="4"/>
    <s v="Aliso Creek"/>
    <n v="901.13"/>
    <x v="3"/>
    <s v="Direct Connection"/>
    <s v="Major MS4 Outfall"/>
    <s v="J01-9782-1 (J01TBN3)"/>
    <x v="1"/>
    <d v="2022-08-18T00:00:00"/>
    <x v="1"/>
    <s v="Direct Connection"/>
    <n v="4.8349999999999999E-3"/>
    <s v="cfs"/>
    <x v="0"/>
    <s v="Floating leaf"/>
  </r>
  <r>
    <x v="4"/>
    <s v="Aliso Creek"/>
    <n v="901.13"/>
    <x v="3"/>
    <s v="Partial - Significant Distance"/>
    <s v="Major MS4 Outfall"/>
    <s v="J01-9031-1"/>
    <x v="1"/>
    <d v="2022-08-18T00:00:00"/>
    <x v="3"/>
    <s v="Partial - Significant Distance"/>
    <s v="NA"/>
    <s v="cfs"/>
    <x v="0"/>
    <m/>
  </r>
  <r>
    <x v="6"/>
    <s v="Aliso Creek"/>
    <n v="901.13"/>
    <x v="3"/>
    <s v="Direct Connection"/>
    <s v="Major MS4 Outfall"/>
    <s v="J01-9224-2 (J01P25)"/>
    <x v="1"/>
    <d v="2022-08-18T00:00:00"/>
    <x v="1"/>
    <s v="Direct Connection"/>
    <n v="1.9E-2"/>
    <s v="cfs"/>
    <x v="0"/>
    <s v="Volumetric"/>
  </r>
  <r>
    <x v="4"/>
    <s v="Aliso Creek"/>
    <n v="901.13"/>
    <x v="3"/>
    <s v="Direct Connection"/>
    <s v="Major MS4 Outfall"/>
    <s v="J01-9046-1"/>
    <x v="1"/>
    <d v="2022-08-18T00:00:00"/>
    <x v="1"/>
    <s v="Direct Connection"/>
    <n v="8.2000000000000007E-3"/>
    <s v="cfs"/>
    <x v="0"/>
    <s v="Floating leaf"/>
  </r>
  <r>
    <x v="4"/>
    <s v="Aliso Creek"/>
    <n v="901.13"/>
    <x v="3"/>
    <s v="Direct Connection"/>
    <s v="Major MS4 Outfall"/>
    <s v="J01-9377-1"/>
    <x v="1"/>
    <d v="2022-08-18T00:00:00"/>
    <x v="4"/>
    <s v="Direct Connection"/>
    <n v="1E-3"/>
    <s v="cfs"/>
    <x v="0"/>
    <s v="Floating leaf"/>
  </r>
  <r>
    <x v="4"/>
    <s v="Aliso Creek"/>
    <n v="901.13"/>
    <x v="3"/>
    <s v="Direct Connection"/>
    <s v="Major MS4 Outfall"/>
    <s v="J01-9046-2"/>
    <x v="1"/>
    <d v="2022-08-18T00:00:00"/>
    <x v="2"/>
    <s v="Direct Connection"/>
    <s v="NA"/>
    <s v="cfs"/>
    <x v="0"/>
    <m/>
  </r>
  <r>
    <x v="4"/>
    <s v="Aliso Creek"/>
    <n v="901.13"/>
    <x v="3"/>
    <s v="Direct Connection"/>
    <s v="Major MS4 Outfall"/>
    <s v="J01-10004-1 (J01P01)"/>
    <x v="1"/>
    <d v="2022-08-18T00:00:00"/>
    <x v="2"/>
    <s v="Direct Connection"/>
    <n v="0.113333"/>
    <s v="cfs"/>
    <x v="0"/>
    <s v="Floating leaf"/>
  </r>
  <r>
    <x v="4"/>
    <s v="Aliso Creek"/>
    <n v="901.13"/>
    <x v="3"/>
    <s v="Direct Connection"/>
    <s v="Major MS4 Outfall"/>
    <s v="J01-9349-1"/>
    <x v="1"/>
    <d v="2022-08-18T00:00:00"/>
    <x v="2"/>
    <s v="Direct Connection"/>
    <s v="NA"/>
    <s v="cfs"/>
    <x v="0"/>
    <m/>
  </r>
  <r>
    <x v="6"/>
    <s v="Aliso Creek"/>
    <n v="901.13"/>
    <x v="3"/>
    <s v="Direct Connection"/>
    <s v="Major MS4 Outfall"/>
    <s v="J01-9224-1 (J01P24)"/>
    <x v="1"/>
    <d v="2022-08-18T00:00:00"/>
    <x v="1"/>
    <s v="Direct Connection"/>
    <n v="2E-3"/>
    <s v="cfs"/>
    <x v="0"/>
    <s v="Volumetric"/>
  </r>
  <r>
    <x v="5"/>
    <s v="Aliso Creek"/>
    <n v="901.13"/>
    <x v="3"/>
    <s v="Direct Connection"/>
    <s v="Major MS4 Outfall"/>
    <s v="J01-9082-2"/>
    <x v="1"/>
    <d v="2022-08-22T00:00:00"/>
    <x v="1"/>
    <s v="Direct Connection"/>
    <n v="3.2000000000000001E-2"/>
    <s v="cfs"/>
    <x v="0"/>
    <s v="Volumetric"/>
  </r>
  <r>
    <x v="5"/>
    <s v="Aliso Creek"/>
    <n v="901.13"/>
    <x v="3"/>
    <s v="None - Flow Infiltrates or Outfall is Dry"/>
    <s v="Major MS4 Outfall"/>
    <s v="J01-9082-3"/>
    <x v="1"/>
    <d v="2022-08-22T00:00:00"/>
    <x v="0"/>
    <s v="None - Flow Infiltrates or Outfall is Dry"/>
    <s v="NA"/>
    <s v="cfs"/>
    <x v="0"/>
    <m/>
  </r>
  <r>
    <x v="5"/>
    <s v="Aliso Creek"/>
    <n v="901.13"/>
    <x v="3"/>
    <s v="Direct Connection"/>
    <s v="Major MS4 Outfall"/>
    <s v="J01-9082-4"/>
    <x v="1"/>
    <d v="2022-08-22T00:00:00"/>
    <x v="1"/>
    <s v="Direct Connection"/>
    <n v="1.2999999999999999E-2"/>
    <s v="cfs"/>
    <x v="0"/>
    <s v="Volumetric"/>
  </r>
  <r>
    <x v="7"/>
    <s v="Aliso Creek"/>
    <n v="901.13"/>
    <x v="3"/>
    <s v="None - Flow Infiltrates or Outfall is Dry"/>
    <s v="Major MS4 Outfall"/>
    <s v="J01-9273-1"/>
    <x v="1"/>
    <d v="2022-08-23T00:00:00"/>
    <x v="2"/>
    <s v="None - Flow Infiltrates or Outfall is Dry"/>
    <s v="NA"/>
    <s v="cfs"/>
    <x v="0"/>
    <m/>
  </r>
  <r>
    <x v="0"/>
    <s v="Aliso Creek"/>
    <n v="901.13"/>
    <x v="3"/>
    <s v="None - Flow Infiltrates or Outfall is Dry"/>
    <s v="Major MS4 Outfall"/>
    <s v="J01-9364-4"/>
    <x v="1"/>
    <d v="2022-08-29T00:00:00"/>
    <x v="0"/>
    <s v="None - Flow Infiltrates or Outfall is Dry"/>
    <s v="NA"/>
    <s v="cfs"/>
    <x v="0"/>
    <m/>
  </r>
  <r>
    <x v="5"/>
    <s v="Aliso Creek"/>
    <n v="901.13"/>
    <x v="3"/>
    <s v="None - Flow Infiltrates or Outfall is Dry"/>
    <s v="Major MS4 Outfall"/>
    <s v="J01-9144-4 (J01P26)"/>
    <x v="1"/>
    <d v="2022-08-31T00:00:00"/>
    <x v="2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275-2"/>
    <x v="1"/>
    <d v="2022-09-01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377-2 (J01TBN8)"/>
    <x v="1"/>
    <d v="2022-09-01T00:00:00"/>
    <x v="0"/>
    <s v="None - Flow Infiltrates or Outfall is Dry"/>
    <s v="NA"/>
    <s v="cfs"/>
    <x v="0"/>
    <m/>
  </r>
  <r>
    <x v="5"/>
    <s v="Aliso Creek"/>
    <n v="901.13"/>
    <x v="3"/>
    <s v="Direct Connection"/>
    <s v="Major MS4 Outfall"/>
    <s v="J01-9992-1 (J01P27)"/>
    <x v="1"/>
    <d v="2022-09-08T00:00:00"/>
    <x v="1"/>
    <s v="Direct Connection"/>
    <n v="2.5000000000000001E-2"/>
    <s v="cfs"/>
    <x v="0"/>
    <s v="Volumetric"/>
  </r>
  <r>
    <x v="5"/>
    <s v="Aliso Creek"/>
    <n v="901.13"/>
    <x v="3"/>
    <s v="Undetermined"/>
    <s v="Major MS4 Outfall"/>
    <s v="J01-9007-1 (J02P05)"/>
    <x v="1"/>
    <d v="2022-09-08T00:00:00"/>
    <x v="1"/>
    <s v="Undetermined"/>
    <n v="5.2999999999999999E-2"/>
    <s v="cfs"/>
    <x v="0"/>
    <s v="Volumetric"/>
  </r>
  <r>
    <x v="5"/>
    <s v="Aliso Creek"/>
    <n v="901.13"/>
    <x v="3"/>
    <s v="Direct Connection"/>
    <s v="Major MS4 Outfall"/>
    <s v="J01-9131-1 (J01P28)"/>
    <x v="1"/>
    <d v="2022-09-08T00:00:00"/>
    <x v="1"/>
    <s v="Direct Connection"/>
    <n v="1.0999999999999999E-2"/>
    <s v="cfs"/>
    <x v="0"/>
    <s v="Volumetric"/>
  </r>
  <r>
    <x v="4"/>
    <s v="Aliso Creek"/>
    <n v="901.13"/>
    <x v="3"/>
    <s v="Direct Connection"/>
    <s v="Major MS4 Outfall"/>
    <s v="J01-9785-1"/>
    <x v="1"/>
    <d v="2022-09-14T00:00:00"/>
    <x v="2"/>
    <s v="Direct Connection"/>
    <s v="NA"/>
    <s v="cfs"/>
    <x v="0"/>
    <m/>
  </r>
  <r>
    <x v="5"/>
    <s v="Aliso Creek"/>
    <n v="901.13"/>
    <x v="3"/>
    <s v="Undetermined"/>
    <s v="Major MS4 Outfall"/>
    <s v="J01-10019-1 (J01P33)"/>
    <x v="1"/>
    <d v="2022-09-14T00:00:00"/>
    <x v="1"/>
    <s v="Undetermined"/>
    <n v="9.5999999999999992E-3"/>
    <s v="cfs"/>
    <x v="0"/>
    <s v="Floating leaf"/>
  </r>
  <r>
    <x v="4"/>
    <s v="Aliso Creek"/>
    <n v="901.13"/>
    <x v="3"/>
    <s v="Partial - Significant Distance"/>
    <s v="Major MS4 Outfall"/>
    <s v="J01-9264-1 (J01P06)"/>
    <x v="1"/>
    <d v="2022-09-21T00:00:00"/>
    <x v="2"/>
    <s v="Partial - Significant Distance"/>
    <s v="NA"/>
    <s v="cfs"/>
    <x v="0"/>
    <m/>
  </r>
  <r>
    <x v="5"/>
    <s v="Aliso Creek"/>
    <n v="901.13"/>
    <x v="3"/>
    <s v="Direct Connection"/>
    <s v="Major MS4 Outfall"/>
    <s v="J01-9992-1 (J01P27)"/>
    <x v="2"/>
    <d v="2022-11-03T00:00:00"/>
    <x v="1"/>
    <s v="Direct Connection"/>
    <n v="4.1599999999999998E-2"/>
    <s v="cfs"/>
    <x v="0"/>
    <s v="Floating leaf"/>
  </r>
  <r>
    <x v="4"/>
    <s v="Aliso Creek"/>
    <n v="901.13"/>
    <x v="3"/>
    <s v="None - Flow Infiltrates or Outfall is Dry"/>
    <s v="Major MS4 Outfall"/>
    <s v="J01-9046-2"/>
    <x v="2"/>
    <d v="2022-11-04T00:00:00"/>
    <x v="0"/>
    <s v="None - Flow Infiltrates or Outfall is Dry"/>
    <s v="NA"/>
    <s v="cfs"/>
    <x v="0"/>
    <m/>
  </r>
  <r>
    <x v="7"/>
    <s v="Aliso Creek"/>
    <n v="901.13"/>
    <x v="3"/>
    <s v="None - Flow Infiltrates or Outfall is Dry"/>
    <s v="Major MS4 Outfall"/>
    <s v="J01-9273-1"/>
    <x v="2"/>
    <d v="2022-12-20T00:00:00"/>
    <x v="2"/>
    <s v="None - Flow Infiltrates or Outfall is Dry"/>
    <s v="NA"/>
    <s v="cfs"/>
    <x v="0"/>
    <m/>
  </r>
  <r>
    <x v="6"/>
    <s v="Aliso Creek"/>
    <n v="901.13"/>
    <x v="3"/>
    <s v="Direct Connection"/>
    <s v="Major MS4 Outfall"/>
    <s v="J01-9224-2 (J01P25)"/>
    <x v="2"/>
    <d v="2023-02-09T00:00:00"/>
    <x v="1"/>
    <s v="Direct Connection"/>
    <n v="0.18571399999999999"/>
    <s v="cfs"/>
    <x v="0"/>
    <s v="Floating leaf"/>
  </r>
  <r>
    <x v="6"/>
    <s v="Aliso Creek"/>
    <n v="901.13"/>
    <x v="3"/>
    <s v="Direct Connection"/>
    <s v="Major MS4 Outfall"/>
    <s v="J01-9224-1 (J01P24)"/>
    <x v="2"/>
    <d v="2023-02-09T00:00:00"/>
    <x v="1"/>
    <s v="Direct Connection"/>
    <n v="8.4000000000000005E-2"/>
    <s v="cfs"/>
    <x v="0"/>
    <s v="Floating leaf"/>
  </r>
  <r>
    <x v="4"/>
    <s v="Aliso Creek"/>
    <n v="901.13"/>
    <x v="3"/>
    <s v="Direct Connection"/>
    <s v="Major MS4 Outfall"/>
    <s v="J01-10004-1 (J01P01)"/>
    <x v="2"/>
    <d v="2023-02-16T00:00:00"/>
    <x v="1"/>
    <s v="Direct Connection"/>
    <n v="0.1323"/>
    <s v="cfs"/>
    <x v="0"/>
    <s v="Floating leaf"/>
  </r>
  <r>
    <x v="5"/>
    <s v="Aliso Creek"/>
    <n v="901.13"/>
    <x v="3"/>
    <s v="Partial - Significant Distance"/>
    <s v="Major MS4 Outfall"/>
    <s v="J01-9313-1"/>
    <x v="2"/>
    <d v="2023-04-20T00:00:00"/>
    <x v="1"/>
    <s v="Partial - Significant Distance"/>
    <s v="NA"/>
    <s v="cfs"/>
    <x v="0"/>
    <m/>
  </r>
  <r>
    <x v="3"/>
    <s v="Aliso Creek"/>
    <n v="901.13"/>
    <x v="3"/>
    <s v="NA"/>
    <s v="Major MS4 Outfall"/>
    <s v="J01-9066-2 (J01P03)"/>
    <x v="2"/>
    <d v="2023-04-25T00:00:00"/>
    <x v="1"/>
    <s v="NA"/>
    <n v="4.2000000000000003E-2"/>
    <s v="cfs"/>
    <x v="0"/>
    <s v="Volumetric"/>
  </r>
  <r>
    <x v="4"/>
    <s v="Aliso Creek"/>
    <n v="901.13"/>
    <x v="3"/>
    <s v="NA"/>
    <s v="Major MS4 Outfall"/>
    <s v="J01-9264-1 (J01P06)"/>
    <x v="2"/>
    <d v="2023-04-25T00:00:00"/>
    <x v="2"/>
    <s v="NA"/>
    <s v="NA"/>
    <s v="cfs"/>
    <x v="0"/>
    <m/>
  </r>
  <r>
    <x v="4"/>
    <s v="Aliso Creek"/>
    <n v="901.13"/>
    <x v="3"/>
    <s v="NA"/>
    <s v="Major MS4 Outfall"/>
    <s v="J01-9046-1"/>
    <x v="2"/>
    <d v="2023-04-25T00:00:00"/>
    <x v="0"/>
    <s v="NA"/>
    <n v="0"/>
    <s v="cfs"/>
    <x v="0"/>
    <s v="Volumetric"/>
  </r>
  <r>
    <x v="3"/>
    <s v="Aliso Creek"/>
    <n v="901.13"/>
    <x v="3"/>
    <s v="NA"/>
    <s v="Major MS4 Outfall"/>
    <s v="J01-9066-1 (J01P04)"/>
    <x v="2"/>
    <d v="2023-04-25T00:00:00"/>
    <x v="1"/>
    <s v="NA"/>
    <n v="4.0000000000000001E-3"/>
    <s v="cfs"/>
    <x v="0"/>
    <s v="Volumetric"/>
  </r>
  <r>
    <x v="4"/>
    <s v="Aliso Creek"/>
    <n v="901.13"/>
    <x v="3"/>
    <s v="NA"/>
    <s v="Major MS4 Outfall"/>
    <s v="J01-9046-2"/>
    <x v="2"/>
    <d v="2023-04-25T00:00:00"/>
    <x v="0"/>
    <s v="NA"/>
    <s v="NA"/>
    <s v="cfs"/>
    <x v="0"/>
    <m/>
  </r>
  <r>
    <x v="4"/>
    <s v="Aliso Creek"/>
    <n v="901.13"/>
    <x v="3"/>
    <s v="NA"/>
    <s v="Major MS4 Outfall"/>
    <s v="J01-10004-1 (J01P01)"/>
    <x v="2"/>
    <d v="2023-04-25T00:00:00"/>
    <x v="1"/>
    <s v="NA"/>
    <n v="3.2000000000000001E-2"/>
    <s v="cfs"/>
    <x v="0"/>
    <s v="Volumetric"/>
  </r>
  <r>
    <x v="7"/>
    <s v="Aliso Creek"/>
    <n v="901.13"/>
    <x v="3"/>
    <s v="NA"/>
    <s v="Major MS4 Outfall"/>
    <s v="J01-9273-1"/>
    <x v="2"/>
    <d v="2023-04-25T00:00:00"/>
    <x v="2"/>
    <s v="NA"/>
    <s v="NA"/>
    <s v="cfs"/>
    <x v="0"/>
    <m/>
  </r>
  <r>
    <x v="4"/>
    <s v="Aliso Creek"/>
    <n v="901.13"/>
    <x v="3"/>
    <s v="NA"/>
    <s v="Major MS4 Outfall"/>
    <s v="J01-9349-1"/>
    <x v="2"/>
    <d v="2023-04-25T00:00:00"/>
    <x v="0"/>
    <s v="NA"/>
    <s v="NA"/>
    <s v="cfs"/>
    <x v="0"/>
    <m/>
  </r>
  <r>
    <x v="5"/>
    <s v="Aliso Creek"/>
    <n v="901.13"/>
    <x v="3"/>
    <s v="NA"/>
    <s v="Major MS4 Outfall"/>
    <s v="J01-9992-1 (J01P27)"/>
    <x v="2"/>
    <d v="2023-04-26T00:00:00"/>
    <x v="1"/>
    <s v="NA"/>
    <n v="2.3E-2"/>
    <s v="cfs"/>
    <x v="0"/>
    <s v="Volumetric"/>
  </r>
  <r>
    <x v="6"/>
    <s v="Aliso Creek"/>
    <n v="901.13"/>
    <x v="3"/>
    <m/>
    <s v="Major MS4 Outfall"/>
    <s v="J01-9005-1 (J03P05)"/>
    <x v="2"/>
    <d v="2023-04-26T00:00:00"/>
    <x v="1"/>
    <s v="NA"/>
    <n v="4.3333999999999998E-2"/>
    <s v="cfs"/>
    <x v="0"/>
    <s v="Floating leaf"/>
  </r>
  <r>
    <x v="6"/>
    <s v="Aliso Creek"/>
    <n v="901.13"/>
    <x v="3"/>
    <s v="NA"/>
    <s v="Major MS4 Outfall"/>
    <s v="J01-9144-1 (J01P23)"/>
    <x v="2"/>
    <d v="2023-04-26T00:00:00"/>
    <x v="1"/>
    <s v="NA"/>
    <n v="0"/>
    <s v="cfs"/>
    <x v="0"/>
    <s v="Volumetric"/>
  </r>
  <r>
    <x v="5"/>
    <s v="Aliso Creek"/>
    <n v="901.13"/>
    <x v="3"/>
    <s v="NA"/>
    <s v="Major MS4 Outfall"/>
    <s v="J01-9144-4 (J01P26)"/>
    <x v="2"/>
    <d v="2023-04-26T00:00:00"/>
    <x v="0"/>
    <s v="NA"/>
    <s v="NA"/>
    <s v="cfs"/>
    <x v="0"/>
    <m/>
  </r>
  <r>
    <x v="5"/>
    <s v="Aliso Creek"/>
    <n v="901.13"/>
    <x v="3"/>
    <s v="NA"/>
    <s v="Major MS4 Outfall"/>
    <s v="J01-9131-1 (J01P28)"/>
    <x v="2"/>
    <d v="2023-04-26T00:00:00"/>
    <x v="1"/>
    <s v="NA"/>
    <n v="8.0000000000000002E-3"/>
    <s v="cfs"/>
    <x v="0"/>
    <s v="Volumetric"/>
  </r>
  <r>
    <x v="4"/>
    <s v="Aliso Creek"/>
    <n v="901.13"/>
    <x v="3"/>
    <s v="NA"/>
    <s v="Major MS4 Outfall"/>
    <s v="J01-9377-1"/>
    <x v="2"/>
    <d v="2023-04-26T00:00:00"/>
    <x v="0"/>
    <s v="NA"/>
    <s v="NA"/>
    <s v="cfs"/>
    <x v="0"/>
    <m/>
  </r>
  <r>
    <x v="5"/>
    <s v="Aliso Creek"/>
    <n v="901.13"/>
    <x v="3"/>
    <s v="NA"/>
    <s v="Major MS4 Outfall"/>
    <s v="J01-10017-1 (J01TBN4)"/>
    <x v="2"/>
    <d v="2023-04-26T00:00:00"/>
    <x v="1"/>
    <s v="NA"/>
    <n v="1E-3"/>
    <s v="cfs"/>
    <x v="0"/>
    <s v="Volumetric"/>
  </r>
  <r>
    <x v="6"/>
    <s v="Aliso Creek"/>
    <n v="901.13"/>
    <x v="3"/>
    <s v="NA"/>
    <s v="Major MS4 Outfall"/>
    <s v="J01-9224-1 (J01P24)"/>
    <x v="2"/>
    <d v="2023-04-26T00:00:00"/>
    <x v="1"/>
    <s v="NA"/>
    <n v="6.0000000000000001E-3"/>
    <s v="cfs"/>
    <x v="0"/>
    <s v="Volumetric"/>
  </r>
  <r>
    <x v="5"/>
    <s v="Aliso Creek"/>
    <n v="901.13"/>
    <x v="3"/>
    <s v="NA"/>
    <s v="Major MS4 Outfall"/>
    <s v="J01-9082-2"/>
    <x v="2"/>
    <d v="2023-04-27T00:00:00"/>
    <x v="1"/>
    <s v="NA"/>
    <n v="1.7000000000000001E-2"/>
    <s v="cfs"/>
    <x v="0"/>
    <s v="Volumetric"/>
  </r>
  <r>
    <x v="5"/>
    <s v="Aliso Creek"/>
    <n v="901.13"/>
    <x v="3"/>
    <s v="NA"/>
    <s v="Major MS4 Outfall"/>
    <s v="J01-9082-3"/>
    <x v="2"/>
    <d v="2023-04-27T00:00:00"/>
    <x v="0"/>
    <s v="NA"/>
    <s v="NA"/>
    <s v="cfs"/>
    <x v="0"/>
    <m/>
  </r>
  <r>
    <x v="5"/>
    <s v="Aliso Creek"/>
    <n v="901.13"/>
    <x v="3"/>
    <s v="NA"/>
    <s v="Major MS4 Outfall"/>
    <s v="J01-9082-4"/>
    <x v="2"/>
    <d v="2023-04-27T00:00:00"/>
    <x v="1"/>
    <s v="NA"/>
    <n v="2.1000000000000001E-2"/>
    <s v="cfs"/>
    <x v="0"/>
    <s v="Volumetric"/>
  </r>
  <r>
    <x v="5"/>
    <s v="Aliso Creek"/>
    <n v="901.13"/>
    <x v="3"/>
    <s v="NA"/>
    <s v="Major MS4 Outfall"/>
    <s v="J01-9007-1 (J02P05)"/>
    <x v="2"/>
    <d v="2023-04-27T00:00:00"/>
    <x v="1"/>
    <s v="NA"/>
    <n v="7.0000000000000001E-3"/>
    <s v="cfs"/>
    <x v="0"/>
    <s v="Volumetric"/>
  </r>
  <r>
    <x v="4"/>
    <s v="Aliso Creek"/>
    <n v="901.13"/>
    <x v="3"/>
    <s v="None - Flow Infiltrates or Outfall is Dry"/>
    <s v="Major MS4 Outfall"/>
    <s v="J01-10004-2"/>
    <x v="2"/>
    <d v="2023-05-16T00:00:00"/>
    <x v="3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782-1 (J01TBN3)"/>
    <x v="2"/>
    <d v="2023-05-16T00:00:00"/>
    <x v="3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264-1 (J01P06)"/>
    <x v="2"/>
    <d v="2023-05-16T00:00:00"/>
    <x v="2"/>
    <s v="Direct Connection"/>
    <n v="3.4000000000000002E-2"/>
    <s v="cfs"/>
    <x v="0"/>
    <s v="Volumetric"/>
  </r>
  <r>
    <x v="4"/>
    <s v="Aliso Creek"/>
    <n v="901.13"/>
    <x v="3"/>
    <s v="Undetermined"/>
    <s v="Major MS4 Outfall"/>
    <s v="J01-9031-1"/>
    <x v="2"/>
    <d v="2023-05-16T00:00:00"/>
    <x v="2"/>
    <s v="Undetermined"/>
    <s v="NA"/>
    <s v="cfs"/>
    <x v="0"/>
    <m/>
  </r>
  <r>
    <x v="4"/>
    <s v="Aliso Creek"/>
    <n v="901.13"/>
    <x v="3"/>
    <s v="Direct Connection"/>
    <s v="Major MS4 Outfall"/>
    <s v="J01-9046-1"/>
    <x v="2"/>
    <d v="2023-05-16T00:00:00"/>
    <x v="1"/>
    <s v="Direct Connection"/>
    <n v="3.8300000000000001E-3"/>
    <s v="cfs"/>
    <x v="0"/>
    <s v="Floating leaf"/>
  </r>
  <r>
    <x v="4"/>
    <s v="Aliso Creek"/>
    <n v="901.13"/>
    <x v="3"/>
    <s v="Direct Connection"/>
    <s v="Major MS4 Outfall"/>
    <s v="J01-9377-1"/>
    <x v="2"/>
    <d v="2023-05-16T00:00:00"/>
    <x v="1"/>
    <s v="Direct Connection"/>
    <n v="2.3479999999999998E-3"/>
    <s v="cfs"/>
    <x v="0"/>
    <s v="Floating leaf"/>
  </r>
  <r>
    <x v="4"/>
    <s v="Aliso Creek"/>
    <n v="901.13"/>
    <x v="3"/>
    <s v="None - Flow Infiltrates or Outfall is Dry"/>
    <s v="Major MS4 Outfall"/>
    <s v="J01-9046-2"/>
    <x v="2"/>
    <d v="2023-05-16T00:00:00"/>
    <x v="3"/>
    <s v="None - Flow Infiltrates or Outfall is Dry"/>
    <n v="1E-3"/>
    <s v="cfs"/>
    <x v="0"/>
    <s v="Volumetric"/>
  </r>
  <r>
    <x v="4"/>
    <s v="Aliso Creek"/>
    <n v="901.13"/>
    <x v="3"/>
    <s v="Direct Connection"/>
    <s v="Major MS4 Outfall"/>
    <s v="J01-10004-1 (J01P01)"/>
    <x v="2"/>
    <d v="2023-05-16T00:00:00"/>
    <x v="1"/>
    <s v="Direct Connection"/>
    <n v="0.26250000000000001"/>
    <s v="cfs"/>
    <x v="0"/>
    <s v="Floating leaf"/>
  </r>
  <r>
    <x v="4"/>
    <s v="Aliso Creek"/>
    <n v="901.13"/>
    <x v="3"/>
    <s v="Direct Connection"/>
    <s v="Major MS4 Outfall"/>
    <s v="J01-9349-1"/>
    <x v="2"/>
    <d v="2023-05-16T00:00:00"/>
    <x v="1"/>
    <s v="Direct Connection"/>
    <n v="0"/>
    <s v="cfs"/>
    <x v="0"/>
    <s v="Volumetric"/>
  </r>
  <r>
    <x v="7"/>
    <s v="Aliso Creek"/>
    <n v="901.13"/>
    <x v="3"/>
    <s v="None - Flow Infiltrates or Outfall is Dry"/>
    <s v="Major MS4 Outfall"/>
    <s v="J01-9273-1"/>
    <x v="2"/>
    <d v="2023-05-18T00:00:00"/>
    <x v="2"/>
    <s v="None - Flow Infiltrates or Outfall is Dry"/>
    <s v="NA"/>
    <s v="cfs"/>
    <x v="0"/>
    <m/>
  </r>
  <r>
    <x v="6"/>
    <s v="Aliso Creek"/>
    <n v="901.13"/>
    <x v="3"/>
    <s v="Direct Connection"/>
    <s v="Major MS4 Outfall"/>
    <s v="J01-9224-2 (J01P25)"/>
    <x v="2"/>
    <d v="2023-05-23T00:00:00"/>
    <x v="1"/>
    <s v="Direct Connection"/>
    <n v="6.6744999999999999E-2"/>
    <s v="cfs"/>
    <x v="0"/>
    <s v="Floating leaf"/>
  </r>
  <r>
    <x v="6"/>
    <s v="Aliso Creek"/>
    <n v="901.13"/>
    <x v="3"/>
    <s v="Direct Connection"/>
    <s v="Major MS4 Outfall"/>
    <s v="J01-9224-1 (J01P24)"/>
    <x v="2"/>
    <d v="2023-05-23T00:00:00"/>
    <x v="1"/>
    <s v="Direct Connection"/>
    <n v="7.0000000000000001E-3"/>
    <s v="cfs"/>
    <x v="0"/>
    <s v="Volumetric"/>
  </r>
  <r>
    <x v="5"/>
    <s v="Aliso Creek"/>
    <n v="901.13"/>
    <x v="3"/>
    <s v="Undetermined"/>
    <s v="Major MS4 Outfall"/>
    <s v="J01-9082-2"/>
    <x v="2"/>
    <d v="2023-05-30T00:00:00"/>
    <x v="1"/>
    <s v="Undetermined"/>
    <s v="NA"/>
    <s v="cfs"/>
    <x v="0"/>
    <m/>
  </r>
  <r>
    <x v="5"/>
    <s v="Aliso Creek"/>
    <n v="901.13"/>
    <x v="3"/>
    <s v="NA"/>
    <s v="Major MS4 Outfall"/>
    <s v="J01-9082-3"/>
    <x v="2"/>
    <d v="2023-05-30T00:00:00"/>
    <x v="0"/>
    <s v="NA"/>
    <s v="NA"/>
    <s v="cfs"/>
    <x v="0"/>
    <m/>
  </r>
  <r>
    <x v="5"/>
    <s v="Aliso Creek"/>
    <n v="901.13"/>
    <x v="3"/>
    <s v="Undetermined"/>
    <s v="Major MS4 Outfall"/>
    <s v="J01-9082-4"/>
    <x v="2"/>
    <d v="2023-05-30T00:00:00"/>
    <x v="1"/>
    <s v="Undetermined"/>
    <n v="2.3E-2"/>
    <s v="cfs"/>
    <x v="0"/>
    <s v="Volumetric"/>
  </r>
  <r>
    <x v="5"/>
    <s v="Aliso Creek"/>
    <n v="901.13"/>
    <x v="3"/>
    <s v="Direct Connection"/>
    <s v="Major MS4 Outfall"/>
    <s v="J01-9992-1 (J01P27)"/>
    <x v="2"/>
    <d v="2023-06-21T00:00:00"/>
    <x v="1"/>
    <s v="Direct Connection"/>
    <n v="1.4999999999999999E-2"/>
    <s v="cfs"/>
    <x v="0"/>
    <s v="Volumetric"/>
  </r>
  <r>
    <x v="5"/>
    <s v="Aliso Creek"/>
    <n v="901.13"/>
    <x v="3"/>
    <s v="Undetermined"/>
    <s v="Major MS4 Outfall"/>
    <s v="J01-9007-1 (J02P05)"/>
    <x v="2"/>
    <d v="2023-06-21T00:00:00"/>
    <x v="1"/>
    <s v="Undetermined"/>
    <n v="3.0000000000000001E-3"/>
    <s v="cfs"/>
    <x v="0"/>
    <s v="Volumetric"/>
  </r>
  <r>
    <x v="5"/>
    <s v="Aliso Creek"/>
    <n v="901.13"/>
    <x v="3"/>
    <s v="Direct Connection"/>
    <s v="Major MS4 Outfall"/>
    <s v="J01-9131-1 (J01P28)"/>
    <x v="2"/>
    <d v="2023-06-21T00:00:00"/>
    <x v="1"/>
    <s v="Direct Connection"/>
    <n v="0.03"/>
    <s v="cfs"/>
    <x v="0"/>
    <s v="Volumetric"/>
  </r>
  <r>
    <x v="6"/>
    <s v="Aliso Creek"/>
    <n v="901.13"/>
    <x v="3"/>
    <m/>
    <s v="Major MS4 Outfall"/>
    <s v="J01-9005-1 (J03P05)"/>
    <x v="2"/>
    <d v="2023-06-29T00:00:00"/>
    <x v="1"/>
    <s v="Direct Connection"/>
    <n v="0.04"/>
    <s v="cfs"/>
    <x v="0"/>
    <s v="Floating leaf"/>
  </r>
  <r>
    <x v="6"/>
    <s v="Aliso Creek"/>
    <n v="901.13"/>
    <x v="3"/>
    <m/>
    <s v="Major MS4 Outfall"/>
    <s v="J01-9005-3"/>
    <x v="2"/>
    <d v="2023-06-29T00:00:00"/>
    <x v="2"/>
    <s v="NA"/>
    <s v="NA"/>
    <s v="cfs"/>
    <x v="0"/>
    <m/>
  </r>
  <r>
    <x v="0"/>
    <s v="Aliso Creek"/>
    <n v="901.13"/>
    <x v="3"/>
    <s v="None - Flow Infiltrates or Outfall is Dry"/>
    <s v="Major MS4 Outfall"/>
    <s v="J01-9364-4"/>
    <x v="2"/>
    <d v="2023-06-29T00:00:00"/>
    <x v="2"/>
    <s v="None - Flow Infiltrates or Outfall is Dry"/>
    <s v="NA"/>
    <s v="cfs"/>
    <x v="0"/>
    <m/>
  </r>
  <r>
    <x v="0"/>
    <s v="Aliso Creek"/>
    <n v="901.13"/>
    <x v="3"/>
    <s v="NA"/>
    <s v="Major MS4 Outfall"/>
    <s v="J01-9364-3 (J01P21)"/>
    <x v="2"/>
    <d v="2023-06-29T00:00:00"/>
    <x v="2"/>
    <s v="NA"/>
    <s v="NA"/>
    <s v="cfs"/>
    <x v="0"/>
    <m/>
  </r>
  <r>
    <x v="6"/>
    <s v="Aliso Creek"/>
    <n v="901.13"/>
    <x v="3"/>
    <m/>
    <s v="Major MS4 Outfall"/>
    <s v="J01-10041-2 (J03P13)"/>
    <x v="2"/>
    <d v="2023-06-29T00:00:00"/>
    <x v="2"/>
    <s v="Undetermined"/>
    <s v="NA"/>
    <s v="cfs"/>
    <x v="0"/>
    <m/>
  </r>
  <r>
    <x v="5"/>
    <s v="Aliso Creek"/>
    <n v="901.13"/>
    <x v="3"/>
    <s v="NA"/>
    <s v="Major MS4 Outfall"/>
    <s v="J01-9313-1"/>
    <x v="2"/>
    <d v="2023-06-30T00:00:00"/>
    <x v="3"/>
    <s v="NA"/>
    <s v="NA"/>
    <s v="cfs"/>
    <x v="0"/>
    <m/>
  </r>
  <r>
    <x v="3"/>
    <s v="Aliso Creek"/>
    <n v="901.13"/>
    <x v="3"/>
    <s v="Direct Connection"/>
    <s v="Major MS4 Outfall"/>
    <s v="J01-9066-2 (J01P03)"/>
    <x v="2"/>
    <d v="2023-07-05T00:00:00"/>
    <x v="1"/>
    <s v="Direct Connection"/>
    <n v="2.4E-2"/>
    <s v="cfs"/>
    <x v="0"/>
    <s v="Volumetric"/>
  </r>
  <r>
    <x v="3"/>
    <s v="Aliso Creek"/>
    <n v="901.13"/>
    <x v="3"/>
    <s v="Partial - Significant Distance"/>
    <s v="Major MS4 Outfall"/>
    <s v="J01-9066-1 (J01P04)"/>
    <x v="2"/>
    <d v="2023-07-05T00:00:00"/>
    <x v="1"/>
    <s v="Partial - Significant Distance"/>
    <n v="2E-3"/>
    <s v="cfs"/>
    <x v="0"/>
    <s v="Volumetric"/>
  </r>
  <r>
    <x v="6"/>
    <s v="Aliso Creek"/>
    <n v="901.13"/>
    <x v="3"/>
    <s v="Direct Connection"/>
    <s v="Major MS4 Outfall"/>
    <s v="J01-9224-2 (J01P25)"/>
    <x v="2"/>
    <d v="2023-07-11T00:00:00"/>
    <x v="1"/>
    <s v="Direct Connection"/>
    <n v="3.5000000000000003E-2"/>
    <s v="cfs"/>
    <x v="0"/>
    <s v="Volumetric"/>
  </r>
  <r>
    <x v="4"/>
    <s v="Aliso Creek"/>
    <n v="901.13"/>
    <x v="3"/>
    <s v="Direct Connection"/>
    <s v="Major MS4 Outfall"/>
    <s v="J01-10004-1 (J01P01)"/>
    <x v="2"/>
    <d v="2023-07-11T00:00:00"/>
    <x v="1"/>
    <s v="Direct Connection"/>
    <n v="0.22791400000000001"/>
    <s v="cfs"/>
    <x v="0"/>
    <s v="Floating leaf"/>
  </r>
  <r>
    <x v="6"/>
    <s v="Aliso Creek"/>
    <n v="901.13"/>
    <x v="3"/>
    <s v="Direct Connection"/>
    <s v="Major MS4 Outfall"/>
    <s v="J01-9224-1 (J01P24)"/>
    <x v="2"/>
    <d v="2023-07-11T00:00:00"/>
    <x v="1"/>
    <s v="Direct Connection"/>
    <n v="0.12141"/>
    <s v="cfs"/>
    <x v="0"/>
    <s v="Floating leaf"/>
  </r>
  <r>
    <x v="4"/>
    <s v="Aliso Creek"/>
    <n v="901.13"/>
    <x v="3"/>
    <s v="None - Flow Infiltrates or Outfall is Dry"/>
    <s v="Major MS4 Outfall"/>
    <s v="J01-9033-1"/>
    <x v="2"/>
    <d v="2023-07-13T00:00:00"/>
    <x v="1"/>
    <s v="None - Flow Infiltrates or Outfall is Dry"/>
    <n v="1.2999999999999999E-2"/>
    <s v="cfs"/>
    <x v="0"/>
    <s v="Volumetric"/>
  </r>
  <r>
    <x v="4"/>
    <s v="Aliso Creek"/>
    <n v="901.13"/>
    <x v="3"/>
    <s v="Direct Connection"/>
    <s v="Major MS4 Outfall"/>
    <s v="J01-9040-1"/>
    <x v="2"/>
    <d v="2023-07-13T00:00:00"/>
    <x v="2"/>
    <s v="Direct Connection"/>
    <n v="6.1874999999999999E-2"/>
    <s v="cfs"/>
    <x v="0"/>
    <s v="Floating leaf"/>
  </r>
  <r>
    <x v="3"/>
    <s v="Aliso Creek"/>
    <n v="901.13"/>
    <x v="3"/>
    <s v="Undetermined"/>
    <s v="Major MS4 Outfall"/>
    <s v="J01-10012-3"/>
    <x v="2"/>
    <d v="2023-07-13T00:00:00"/>
    <x v="0"/>
    <s v="Undetermined"/>
    <s v="NA"/>
    <s v="cfs"/>
    <x v="0"/>
    <m/>
  </r>
  <r>
    <x v="4"/>
    <s v="Aliso Creek"/>
    <n v="901.13"/>
    <x v="3"/>
    <s v="Unsafe to Access"/>
    <s v="Major MS4 Outfall"/>
    <s v="J01-10006-1"/>
    <x v="2"/>
    <d v="2023-07-17T00:00:00"/>
    <x v="2"/>
    <s v="Unsafe to Access"/>
    <s v="NA"/>
    <s v="cfs"/>
    <x v="0"/>
    <m/>
  </r>
  <r>
    <x v="4"/>
    <s v="Aliso Creek"/>
    <n v="901.13"/>
    <x v="3"/>
    <s v="None - Flow Infiltrates or Outfall is Dry"/>
    <s v="Major MS4 Outfall"/>
    <s v="J01-9259-3"/>
    <x v="2"/>
    <d v="2023-07-17T00:00:00"/>
    <x v="2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785-1"/>
    <x v="2"/>
    <d v="2023-07-17T00:00:00"/>
    <x v="1"/>
    <s v="Direct Connection"/>
    <s v="NA"/>
    <s v="cfs"/>
    <x v="0"/>
    <m/>
  </r>
  <r>
    <x v="6"/>
    <s v="Aliso Creek"/>
    <n v="901.13"/>
    <x v="3"/>
    <s v="Direct Connection"/>
    <s v="Major MS4 Outfall"/>
    <s v="J01-9224-2 (J01P25)"/>
    <x v="2"/>
    <d v="2023-07-18T00:00:00"/>
    <x v="1"/>
    <s v="Direct Connection"/>
    <n v="2.3E-2"/>
    <s v="cfs"/>
    <x v="0"/>
    <s v="Volumetric"/>
  </r>
  <r>
    <x v="4"/>
    <s v="Aliso Creek"/>
    <n v="901.13"/>
    <x v="3"/>
    <s v="Direct Connection"/>
    <s v="Major MS4 Outfall"/>
    <s v="J01-10004-1 (J01P01)"/>
    <x v="2"/>
    <d v="2023-07-18T00:00:00"/>
    <x v="1"/>
    <s v="Direct Connection"/>
    <n v="0.20418700000000001"/>
    <s v="cfs"/>
    <x v="0"/>
    <s v="Floating leaf"/>
  </r>
  <r>
    <x v="6"/>
    <s v="Aliso Creek"/>
    <n v="901.13"/>
    <x v="3"/>
    <s v="Direct Connection"/>
    <s v="Major MS4 Outfall"/>
    <s v="J01-9224-1 (J01P24)"/>
    <x v="2"/>
    <d v="2023-07-18T00:00:00"/>
    <x v="1"/>
    <s v="Direct Connection"/>
    <n v="5.0000000000000001E-3"/>
    <s v="cfs"/>
    <x v="0"/>
    <s v="Volumetric"/>
  </r>
  <r>
    <x v="5"/>
    <s v="Aliso Creek"/>
    <n v="901.13"/>
    <x v="3"/>
    <s v="Direct Connection"/>
    <s v="Major MS4 Outfall"/>
    <s v="J01-9008-1 (J01P30)"/>
    <x v="2"/>
    <d v="2023-07-19T00:00:00"/>
    <x v="1"/>
    <s v="Direct Connection"/>
    <n v="2.8000000000000001E-2"/>
    <s v="cfs"/>
    <x v="0"/>
    <s v="Volumetric"/>
  </r>
  <r>
    <x v="5"/>
    <s v="Aliso Creek"/>
    <n v="901.13"/>
    <x v="3"/>
    <s v="Direct Connection"/>
    <s v="Major MS4 Outfall"/>
    <s v="J01-10017-1 (J01TBN4)"/>
    <x v="2"/>
    <d v="2023-07-19T00:00:00"/>
    <x v="1"/>
    <s v="Direct Connection"/>
    <n v="3.0000000000000001E-3"/>
    <s v="cfs"/>
    <x v="0"/>
    <s v="Volumetric"/>
  </r>
  <r>
    <x v="6"/>
    <s v="Aliso Creek"/>
    <n v="901.13"/>
    <x v="3"/>
    <s v="Direct Connection"/>
    <s v="Major MS4 Outfall"/>
    <s v="J01-9224-2 (J01P25)"/>
    <x v="2"/>
    <d v="2023-07-25T00:00:00"/>
    <x v="1"/>
    <s v="Direct Connection"/>
    <n v="3.1E-2"/>
    <s v="cfs"/>
    <x v="0"/>
    <s v="Volumetric"/>
  </r>
  <r>
    <x v="4"/>
    <s v="Aliso Creek"/>
    <n v="901.13"/>
    <x v="3"/>
    <s v="Direct Connection"/>
    <s v="Major MS4 Outfall"/>
    <s v="J01-10004-1 (J01P01)"/>
    <x v="2"/>
    <d v="2023-07-25T00:00:00"/>
    <x v="1"/>
    <s v="Direct Connection"/>
    <n v="0.29967100000000002"/>
    <s v="cfs"/>
    <x v="0"/>
    <s v="Floating leaf"/>
  </r>
  <r>
    <x v="6"/>
    <s v="Aliso Creek"/>
    <n v="901.13"/>
    <x v="3"/>
    <s v="Direct Connection"/>
    <s v="Major MS4 Outfall"/>
    <s v="J01-9224-1 (J01P24)"/>
    <x v="2"/>
    <d v="2023-07-25T00:00:00"/>
    <x v="1"/>
    <s v="Direct Connection"/>
    <n v="3.0000000000000001E-3"/>
    <s v="cfs"/>
    <x v="0"/>
    <s v="Volumetric"/>
  </r>
  <r>
    <x v="6"/>
    <s v="Aliso Creek"/>
    <n v="901.13"/>
    <x v="3"/>
    <s v="Direct Connection"/>
    <s v="Major MS4 Outfall"/>
    <s v="J01-9144-1 (J01P23)"/>
    <x v="2"/>
    <d v="2023-07-26T00:00:00"/>
    <x v="1"/>
    <s v="Direct Connection"/>
    <n v="6.0000000000000001E-3"/>
    <s v="cfs"/>
    <x v="0"/>
    <s v="Volumetric"/>
  </r>
  <r>
    <x v="5"/>
    <s v="Aliso Creek"/>
    <n v="901.13"/>
    <x v="3"/>
    <s v="None - Flow Infiltrates or Outfall is Dry"/>
    <s v="Major MS4 Outfall"/>
    <s v="J01-9144-4 (J01P26)"/>
    <x v="2"/>
    <d v="2023-07-26T00:00:00"/>
    <x v="2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275-1"/>
    <x v="2"/>
    <d v="2023-07-27T00:00:00"/>
    <x v="0"/>
    <s v="None - Flow Infiltrates or Outfall is Dry"/>
    <s v="NA"/>
    <s v="cfs"/>
    <x v="0"/>
    <m/>
  </r>
  <r>
    <x v="4"/>
    <s v="Aliso Creek"/>
    <n v="901.13"/>
    <x v="3"/>
    <s v="Partial - Significant Distance"/>
    <s v="Major MS4 Outfall"/>
    <s v="J01-9046-3"/>
    <x v="2"/>
    <d v="2023-07-27T00:00:00"/>
    <x v="1"/>
    <s v="Partial - Significant Distance"/>
    <n v="2.4E-2"/>
    <s v="cfs"/>
    <x v="0"/>
    <s v="Floating leaf"/>
  </r>
  <r>
    <x v="4"/>
    <s v="Aliso Creek"/>
    <n v="901.13"/>
    <x v="3"/>
    <s v="None - Flow Infiltrates or Outfall is Dry"/>
    <s v="Major MS4 Outfall"/>
    <s v="J01-9275-2"/>
    <x v="2"/>
    <d v="2023-07-27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377-2 (J01TBN8)"/>
    <x v="2"/>
    <d v="2023-07-27T00:00:00"/>
    <x v="2"/>
    <s v="None - Flow Infiltrates or Outfall is Dry"/>
    <s v="NA"/>
    <s v="cfs"/>
    <x v="0"/>
    <m/>
  </r>
  <r>
    <x v="6"/>
    <s v="Aliso Creek"/>
    <n v="901.13"/>
    <x v="3"/>
    <s v="Direct Connection"/>
    <s v="Major MS4 Outfall"/>
    <s v="J01-9224-2 (J01P25)"/>
    <x v="2"/>
    <d v="2023-08-01T00:00:00"/>
    <x v="1"/>
    <s v="Direct Connection"/>
    <n v="3.2000000000000001E-2"/>
    <s v="cfs"/>
    <x v="0"/>
    <s v="Volumetric"/>
  </r>
  <r>
    <x v="4"/>
    <s v="Aliso Creek"/>
    <n v="901.13"/>
    <x v="3"/>
    <s v="Direct Connection"/>
    <s v="Major MS4 Outfall"/>
    <s v="J01-10004-1 (J01P01)"/>
    <x v="2"/>
    <d v="2023-08-01T00:00:00"/>
    <x v="1"/>
    <s v="Direct Connection"/>
    <n v="0.159079"/>
    <s v="cfs"/>
    <x v="0"/>
    <s v="Floating leaf"/>
  </r>
  <r>
    <x v="6"/>
    <s v="Aliso Creek"/>
    <n v="901.13"/>
    <x v="3"/>
    <s v="Direct Connection"/>
    <s v="Major MS4 Outfall"/>
    <s v="J01-9224-1 (J01P24)"/>
    <x v="2"/>
    <d v="2023-08-01T00:00:00"/>
    <x v="1"/>
    <s v="Direct Connection"/>
    <n v="4.0000000000000001E-3"/>
    <s v="cfs"/>
    <x v="0"/>
    <s v="Volumetric"/>
  </r>
  <r>
    <x v="7"/>
    <s v="Aliso Creek"/>
    <n v="901.13"/>
    <x v="3"/>
    <s v="None - Flow Infiltrates or Outfall is Dry"/>
    <s v="Major MS4 Outfall"/>
    <s v="J01-9273-1"/>
    <x v="2"/>
    <d v="2023-08-03T00:00:00"/>
    <x v="1"/>
    <s v="None - Flow Infiltrates or Outfall is Dry"/>
    <n v="4.0000000000000001E-3"/>
    <s v="cfs"/>
    <x v="0"/>
    <s v="Volumetric"/>
  </r>
  <r>
    <x v="6"/>
    <s v="Aliso Creek"/>
    <n v="901.13"/>
    <x v="3"/>
    <s v="Direct Connection"/>
    <s v="Major MS4 Outfall"/>
    <s v="J01-9224-2 (J01P25)"/>
    <x v="2"/>
    <d v="2023-08-08T00:00:00"/>
    <x v="1"/>
    <s v="Direct Connection"/>
    <n v="3.1E-2"/>
    <s v="cfs"/>
    <x v="0"/>
    <s v="Volumetric"/>
  </r>
  <r>
    <x v="4"/>
    <s v="Aliso Creek"/>
    <n v="901.13"/>
    <x v="3"/>
    <s v="Direct Connection"/>
    <s v="Major MS4 Outfall"/>
    <s v="J01-10004-1 (J01P01)"/>
    <x v="2"/>
    <d v="2023-08-08T00:00:00"/>
    <x v="1"/>
    <s v="Direct Connection"/>
    <n v="0.15506300000000001"/>
    <s v="cfs"/>
    <x v="0"/>
    <s v="Floating leaf"/>
  </r>
  <r>
    <x v="6"/>
    <s v="Aliso Creek"/>
    <n v="901.13"/>
    <x v="3"/>
    <s v="Direct Connection"/>
    <s v="Major MS4 Outfall"/>
    <s v="J01-9224-1 (J01P24)"/>
    <x v="2"/>
    <d v="2023-08-08T00:00:00"/>
    <x v="1"/>
    <s v="Direct Connection"/>
    <n v="4.0000000000000001E-3"/>
    <s v="cfs"/>
    <x v="0"/>
    <s v="Volumetric"/>
  </r>
  <r>
    <x v="5"/>
    <s v="Aliso Creek"/>
    <n v="901.13"/>
    <x v="3"/>
    <s v="Partial - Significant Distance"/>
    <s v="Major MS4 Outfall"/>
    <s v="J01-9082-2"/>
    <x v="2"/>
    <d v="2023-08-09T00:00:00"/>
    <x v="1"/>
    <s v="Partial - Significant Distance"/>
    <n v="0.105"/>
    <s v="cfs"/>
    <x v="0"/>
    <s v="Floating leaf"/>
  </r>
  <r>
    <x v="5"/>
    <s v="Aliso Creek"/>
    <n v="901.13"/>
    <x v="3"/>
    <s v="NA"/>
    <s v="Major MS4 Outfall"/>
    <s v="J01-9082-3"/>
    <x v="2"/>
    <d v="2023-08-09T00:00:00"/>
    <x v="0"/>
    <s v="NA"/>
    <s v="NA"/>
    <s v="cfs"/>
    <x v="0"/>
    <m/>
  </r>
  <r>
    <x v="5"/>
    <s v="Aliso Creek"/>
    <n v="901.13"/>
    <x v="3"/>
    <s v="NA"/>
    <s v="Major MS4 Outfall"/>
    <s v="J01-9082-4"/>
    <x v="2"/>
    <d v="2023-08-09T00:00:00"/>
    <x v="1"/>
    <s v="NA"/>
    <n v="8.0000000000000002E-3"/>
    <s v="cfs"/>
    <x v="0"/>
    <s v="Volumetric"/>
  </r>
  <r>
    <x v="3"/>
    <s v="Aliso Creek"/>
    <n v="901.13"/>
    <x v="3"/>
    <s v="Direct Connection"/>
    <s v="Major MS4 Outfall"/>
    <s v="J01-9066-2 (J01P03)"/>
    <x v="2"/>
    <d v="2023-08-17T00:00:00"/>
    <x v="1"/>
    <s v="Direct Connection"/>
    <n v="0.02"/>
    <s v="cfs"/>
    <x v="0"/>
    <s v="Volumetric"/>
  </r>
  <r>
    <x v="3"/>
    <s v="Aliso Creek"/>
    <n v="901.13"/>
    <x v="3"/>
    <s v="Direct Connection"/>
    <s v="Major MS4 Outfall"/>
    <s v="J01-9066-1 (J01P04)"/>
    <x v="2"/>
    <d v="2023-08-17T00:00:00"/>
    <x v="1"/>
    <s v="Direct Connection"/>
    <n v="2E-3"/>
    <s v="cfs"/>
    <x v="0"/>
    <s v="Volumetric"/>
  </r>
  <r>
    <x v="6"/>
    <s v="Aliso Creek"/>
    <n v="901.13"/>
    <x v="3"/>
    <m/>
    <s v="Major MS4 Outfall"/>
    <s v="J01-9005-1 (J03P05)"/>
    <x v="2"/>
    <d v="2023-08-28T00:00:00"/>
    <x v="1"/>
    <s v="Direct Connection"/>
    <s v="NA"/>
    <s v="cfs"/>
    <x v="0"/>
    <m/>
  </r>
  <r>
    <x v="6"/>
    <s v="Aliso Creek"/>
    <n v="901.13"/>
    <x v="3"/>
    <m/>
    <s v="Major MS4 Outfall"/>
    <s v="J01-9005-3"/>
    <x v="2"/>
    <d v="2023-08-28T00:00:00"/>
    <x v="1"/>
    <s v="Partial - Significant Distance"/>
    <s v="NA"/>
    <s v="cfs"/>
    <x v="0"/>
    <m/>
  </r>
  <r>
    <x v="5"/>
    <s v="Aliso Creek"/>
    <n v="901.13"/>
    <x v="3"/>
    <s v="Direct Connection"/>
    <s v="Major MS4 Outfall"/>
    <s v="J01-9313-1"/>
    <x v="2"/>
    <d v="2023-08-28T00:00:00"/>
    <x v="1"/>
    <s v="Direct Connection"/>
    <s v="NA"/>
    <s v="cfs"/>
    <x v="0"/>
    <m/>
  </r>
  <r>
    <x v="0"/>
    <s v="Aliso Creek"/>
    <n v="901.13"/>
    <x v="3"/>
    <s v="None - Flow Infiltrates or Outfall is Dry"/>
    <s v="Major MS4 Outfall"/>
    <s v="J01-9364-4"/>
    <x v="2"/>
    <d v="2023-08-28T00:00:00"/>
    <x v="3"/>
    <s v="None - Flow Infiltrates or Outfall is Dry"/>
    <s v="NA"/>
    <s v="cfs"/>
    <x v="0"/>
    <m/>
  </r>
  <r>
    <x v="0"/>
    <s v="Aliso Creek"/>
    <n v="901.13"/>
    <x v="3"/>
    <s v="NA"/>
    <s v="Major MS4 Outfall"/>
    <s v="J01-9364-3 (J01P21)"/>
    <x v="2"/>
    <d v="2023-08-28T00:00:00"/>
    <x v="2"/>
    <s v="NA"/>
    <s v="NA"/>
    <s v="cfs"/>
    <x v="0"/>
    <m/>
  </r>
  <r>
    <x v="6"/>
    <s v="Aliso Creek"/>
    <n v="901.13"/>
    <x v="3"/>
    <m/>
    <s v="Major MS4 Outfall"/>
    <s v="J01-10041-2 (J03P13)"/>
    <x v="2"/>
    <d v="2023-08-28T00:00:00"/>
    <x v="2"/>
    <s v="NA"/>
    <s v="NA"/>
    <s v="cfs"/>
    <x v="0"/>
    <m/>
  </r>
  <r>
    <x v="4"/>
    <s v="Aliso Creek"/>
    <n v="901.13"/>
    <x v="3"/>
    <s v="None - Flow Infiltrates or Outfall is Dry"/>
    <s v="Major MS4 Outfall"/>
    <s v="J01-9275-1"/>
    <x v="2"/>
    <d v="2023-08-29T00:00:00"/>
    <x v="0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275-2"/>
    <x v="2"/>
    <d v="2023-08-29T00:00:00"/>
    <x v="1"/>
    <s v="None - Flow Infiltrates or Outfall is Dry"/>
    <n v="2.1600000000000001E-2"/>
    <s v="cfs"/>
    <x v="0"/>
    <s v="Floating leaf"/>
  </r>
  <r>
    <x v="4"/>
    <s v="Aliso Creek"/>
    <n v="901.13"/>
    <x v="3"/>
    <s v="Partial - Significant Distance"/>
    <s v="Major MS4 Outfall"/>
    <s v="J01-9264-1 (J01P06)"/>
    <x v="2"/>
    <d v="2023-08-29T00:00:00"/>
    <x v="2"/>
    <s v="Partial - Significant Distance"/>
    <s v="NA"/>
    <s v="cfs"/>
    <x v="0"/>
    <m/>
  </r>
  <r>
    <x v="4"/>
    <s v="Aliso Creek"/>
    <n v="901.13"/>
    <x v="3"/>
    <s v="Direct Connection"/>
    <s v="Major MS4 Outfall"/>
    <s v="J01-9031-1"/>
    <x v="2"/>
    <d v="2023-08-29T00:00:00"/>
    <x v="2"/>
    <s v="Direct Connection"/>
    <s v="NA"/>
    <s v="cfs"/>
    <x v="0"/>
    <m/>
  </r>
  <r>
    <x v="4"/>
    <s v="Aliso Creek"/>
    <n v="901.13"/>
    <x v="3"/>
    <s v="None - Flow Infiltrates or Outfall is Dry"/>
    <s v="Major MS4 Outfall"/>
    <s v="J01-9046-1"/>
    <x v="2"/>
    <d v="2023-08-29T00:00:00"/>
    <x v="2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377-1"/>
    <x v="2"/>
    <d v="2023-08-29T00:00:00"/>
    <x v="2"/>
    <s v="Direct Connection"/>
    <s v="NA"/>
    <s v="cfs"/>
    <x v="0"/>
    <m/>
  </r>
  <r>
    <x v="4"/>
    <s v="Aliso Creek"/>
    <n v="901.13"/>
    <x v="3"/>
    <s v="None - Flow Infiltrates or Outfall is Dry"/>
    <s v="Major MS4 Outfall"/>
    <s v="J01-9046-2"/>
    <x v="2"/>
    <d v="2023-08-29T00:00:00"/>
    <x v="2"/>
    <s v="None - Flow Infiltrates or Outfall is Dry"/>
    <s v="NA"/>
    <s v="cfs"/>
    <x v="0"/>
    <m/>
  </r>
  <r>
    <x v="4"/>
    <s v="Aliso Creek"/>
    <n v="901.13"/>
    <x v="3"/>
    <s v="Partial - Significant Distance"/>
    <s v="Major MS4 Outfall"/>
    <s v="J01-9349-1"/>
    <x v="2"/>
    <d v="2023-08-29T00:00:00"/>
    <x v="2"/>
    <s v="Partial - Significant Distance"/>
    <s v="NA"/>
    <s v="cfs"/>
    <x v="0"/>
    <m/>
  </r>
  <r>
    <x v="5"/>
    <s v="Aliso Creek"/>
    <n v="901.13"/>
    <x v="3"/>
    <s v="Direct Connection"/>
    <s v="Major MS4 Outfall"/>
    <s v="J01-9992-1 (J01P27)"/>
    <x v="2"/>
    <d v="2023-09-06T00:00:00"/>
    <x v="1"/>
    <s v="Direct Connection"/>
    <n v="8.7591000000000002E-2"/>
    <s v="cfs"/>
    <x v="0"/>
    <s v="Floating leaf"/>
  </r>
  <r>
    <x v="5"/>
    <s v="Aliso Creek"/>
    <n v="901.13"/>
    <x v="3"/>
    <s v="Direct Connection"/>
    <s v="Major MS4 Outfall"/>
    <s v="J01-9082-2"/>
    <x v="2"/>
    <d v="2023-09-06T00:00:00"/>
    <x v="1"/>
    <s v="Direct Connection"/>
    <n v="0.15319099999999999"/>
    <s v="cfs"/>
    <x v="0"/>
    <s v="Floating leaf"/>
  </r>
  <r>
    <x v="5"/>
    <s v="Aliso Creek"/>
    <n v="901.13"/>
    <x v="3"/>
    <s v="Direct Connection"/>
    <s v="Major MS4 Outfall"/>
    <s v="J01-9007-1 (J02P05)"/>
    <x v="2"/>
    <d v="2023-09-06T00:00:00"/>
    <x v="1"/>
    <s v="Direct Connection"/>
    <n v="1.9E-2"/>
    <s v="cfs"/>
    <x v="0"/>
    <s v="Volumetric"/>
  </r>
  <r>
    <x v="4"/>
    <s v="Aliso Creek"/>
    <n v="901.13"/>
    <x v="3"/>
    <s v="Direct Connection"/>
    <s v="Major MS4 Outfall"/>
    <s v="J01-9040-1"/>
    <x v="2"/>
    <d v="2023-09-20T00:00:00"/>
    <x v="2"/>
    <s v="Direct Connection"/>
    <s v="NA"/>
    <s v="cfs"/>
    <x v="0"/>
    <m/>
  </r>
  <r>
    <x v="4"/>
    <s v="Aliso Creek"/>
    <n v="901.13"/>
    <x v="3"/>
    <s v="Undetermined"/>
    <s v="Major MS4 Outfall"/>
    <s v="J01-10006-1"/>
    <x v="2"/>
    <d v="2023-09-25T00:00:00"/>
    <x v="2"/>
    <s v="Undetermined"/>
    <s v="NA"/>
    <s v="cfs"/>
    <x v="0"/>
    <m/>
  </r>
  <r>
    <x v="4"/>
    <s v="Aliso Creek"/>
    <n v="901.13"/>
    <x v="3"/>
    <s v="None - Flow Infiltrates or Outfall is Dry"/>
    <s v="Major MS4 Outfall"/>
    <s v="J01-9259-3"/>
    <x v="2"/>
    <d v="2023-09-25T00:00:00"/>
    <x v="2"/>
    <s v="None - Flow Infiltrates or Outfall is Dry"/>
    <s v="NA"/>
    <s v="cfs"/>
    <x v="0"/>
    <m/>
  </r>
  <r>
    <x v="4"/>
    <s v="Aliso Creek"/>
    <n v="901.13"/>
    <x v="3"/>
    <s v="Undetermined"/>
    <s v="Major MS4 Outfall"/>
    <s v="J01-9033-1"/>
    <x v="2"/>
    <d v="2023-09-25T00:00:00"/>
    <x v="1"/>
    <s v="Undetermined"/>
    <n v="2E-3"/>
    <s v="cfs"/>
    <x v="0"/>
    <s v="Volumetric"/>
  </r>
  <r>
    <x v="4"/>
    <s v="Aliso Creek"/>
    <n v="901.13"/>
    <x v="3"/>
    <s v="None - Flow Infiltrates or Outfall is Dry"/>
    <s v="Major MS4 Outfall"/>
    <s v="J01-10004-2"/>
    <x v="2"/>
    <d v="2023-09-26T00:00:00"/>
    <x v="2"/>
    <s v="None - Flow Infiltrates or Outfall is Dry"/>
    <s v="NA"/>
    <s v="cfs"/>
    <x v="0"/>
    <m/>
  </r>
  <r>
    <x v="4"/>
    <s v="Aliso Creek"/>
    <n v="901.13"/>
    <x v="3"/>
    <s v="None - Flow Infiltrates or Outfall is Dry"/>
    <s v="Major MS4 Outfall"/>
    <s v="J01-9782-1 (J01TBN3)"/>
    <x v="2"/>
    <d v="2023-09-26T00:00:00"/>
    <x v="2"/>
    <s v="None - Flow Infiltrates or Outfall is Dry"/>
    <s v="NA"/>
    <s v="cfs"/>
    <x v="0"/>
    <m/>
  </r>
  <r>
    <x v="4"/>
    <s v="Aliso Creek"/>
    <n v="901.13"/>
    <x v="3"/>
    <s v="Direct Connection"/>
    <s v="Major MS4 Outfall"/>
    <s v="J01-9785-1"/>
    <x v="2"/>
    <d v="2023-09-26T00:00:00"/>
    <x v="1"/>
    <s v="Direct Connection"/>
    <n v="2E-3"/>
    <s v="cfs"/>
    <x v="0"/>
    <s v="Volumetric"/>
  </r>
  <r>
    <x v="5"/>
    <s v="Aliso Creek"/>
    <n v="901.13"/>
    <x v="3"/>
    <s v="Direct Connection"/>
    <s v="Major MS4 Outfall"/>
    <s v="J01-9144-4 (J01P26)"/>
    <x v="2"/>
    <d v="2023-09-26T00:00:00"/>
    <x v="1"/>
    <s v="Direct Connection"/>
    <n v="0"/>
    <s v="cfs"/>
    <x v="0"/>
    <s v="Volumetric"/>
  </r>
  <r>
    <x v="4"/>
    <s v="Aliso Creek"/>
    <n v="901.13"/>
    <x v="3"/>
    <s v="NA"/>
    <s v="Major MS4 Outfall"/>
    <s v="J01-9377-2 (J01TBN8)"/>
    <x v="2"/>
    <d v="2023-09-26T00:00:00"/>
    <x v="0"/>
    <s v="NA"/>
    <s v="NA"/>
    <s v="cfs"/>
    <x v="0"/>
    <m/>
  </r>
  <r>
    <x v="5"/>
    <s v="Aliso Creek"/>
    <n v="901.13"/>
    <x v="3"/>
    <s v="Partial - Significant Distance"/>
    <s v="Major MS4 Outfall"/>
    <s v="J01-9992-1 (J01P27)"/>
    <x v="2"/>
    <d v="2023-09-27T00:00:00"/>
    <x v="1"/>
    <s v="Partial - Significant Distance"/>
    <s v="NA"/>
    <s v="cfs"/>
    <x v="0"/>
    <m/>
  </r>
  <r>
    <x v="5"/>
    <s v="Aliso Creek"/>
    <n v="901.13"/>
    <x v="3"/>
    <s v="Direct Connection"/>
    <s v="Major MS4 Outfall"/>
    <s v="J01-9008-1 (J01P30)"/>
    <x v="2"/>
    <d v="2023-09-27T00:00:00"/>
    <x v="1"/>
    <s v="Direct Connection"/>
    <n v="3.1E-2"/>
    <s v="cfs"/>
    <x v="0"/>
    <s v="Volumetric"/>
  </r>
  <r>
    <x v="5"/>
    <s v="Aliso Creek"/>
    <n v="901.13"/>
    <x v="3"/>
    <s v="Direct Connection"/>
    <s v="Major MS4 Outfall"/>
    <s v="J01-9131-1 (J01P28)"/>
    <x v="2"/>
    <d v="2023-09-27T00:00:00"/>
    <x v="1"/>
    <s v="Direct Connection"/>
    <n v="0.09"/>
    <s v="cfs"/>
    <x v="0"/>
    <s v="Floating leaf"/>
  </r>
  <r>
    <x v="5"/>
    <s v="Aliso Creek"/>
    <n v="901.13"/>
    <x v="3"/>
    <s v="Direct Connection"/>
    <s v="Major MS4 Outfall"/>
    <s v="J01-10017-1 (J01TBN4)"/>
    <x v="2"/>
    <d v="2023-09-27T00:00:00"/>
    <x v="1"/>
    <s v="Direct Connection"/>
    <n v="4.6667E-2"/>
    <s v="cfs"/>
    <x v="0"/>
    <s v="Floating lea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75D83-555C-445D-B51D-8B187C685EFB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J47" firstHeaderRow="1" firstDataRow="2" firstDataCol="4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numFmtId="1" outline="0" showAll="0"/>
    <pivotField compact="0" outline="0" showAl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dataField="1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</pivotFields>
  <rowFields count="4">
    <field x="3"/>
    <field x="0"/>
    <field x="13"/>
    <field x="7"/>
  </rowFields>
  <rowItems count="44">
    <i>
      <x/>
      <x/>
      <x/>
      <x/>
    </i>
    <i r="3">
      <x v="1"/>
    </i>
    <i r="3">
      <x v="2"/>
    </i>
    <i t="default" r="2">
      <x/>
    </i>
    <i r="1">
      <x v="1"/>
      <x/>
      <x/>
    </i>
    <i r="3">
      <x v="1"/>
    </i>
    <i r="3">
      <x v="2"/>
    </i>
    <i t="default" r="2">
      <x/>
    </i>
    <i r="1">
      <x v="2"/>
      <x/>
      <x v="1"/>
    </i>
    <i r="3">
      <x v="2"/>
    </i>
    <i t="default" r="2">
      <x/>
    </i>
    <i>
      <x v="1"/>
      <x v="2"/>
      <x/>
      <x/>
    </i>
    <i r="3">
      <x v="1"/>
    </i>
    <i r="3">
      <x v="2"/>
    </i>
    <i t="default" r="2">
      <x/>
    </i>
    <i>
      <x v="2"/>
      <x v="2"/>
      <x/>
      <x/>
    </i>
    <i r="3">
      <x v="1"/>
    </i>
    <i r="3">
      <x v="2"/>
    </i>
    <i t="default" r="2">
      <x/>
    </i>
    <i>
      <x v="3"/>
      <x/>
      <x/>
      <x/>
    </i>
    <i r="3">
      <x v="1"/>
    </i>
    <i r="3">
      <x v="2"/>
    </i>
    <i t="default" r="2">
      <x/>
    </i>
    <i r="1">
      <x v="3"/>
      <x/>
      <x/>
    </i>
    <i r="3">
      <x v="1"/>
    </i>
    <i r="3">
      <x v="2"/>
    </i>
    <i t="default" r="2">
      <x/>
    </i>
    <i r="1">
      <x v="4"/>
      <x/>
      <x/>
    </i>
    <i r="3">
      <x v="1"/>
    </i>
    <i r="3">
      <x v="2"/>
    </i>
    <i t="default" r="2">
      <x/>
    </i>
    <i r="1">
      <x v="5"/>
      <x/>
      <x/>
    </i>
    <i r="3">
      <x v="1"/>
    </i>
    <i r="3">
      <x v="2"/>
    </i>
    <i t="default" r="2">
      <x/>
    </i>
    <i r="1">
      <x v="6"/>
      <x/>
      <x/>
    </i>
    <i r="3">
      <x v="1"/>
    </i>
    <i r="3">
      <x v="2"/>
    </i>
    <i t="default" r="2">
      <x/>
    </i>
    <i r="1">
      <x v="7"/>
      <x/>
      <x/>
    </i>
    <i r="3">
      <x v="1"/>
    </i>
    <i r="3">
      <x v="2"/>
    </i>
    <i t="default" r="2">
      <x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Flow Status" fld="9" subtotal="count" baseField="0" baseItem="0"/>
  </dataFields>
  <formats count="1">
    <format dxfId="0">
      <pivotArea outline="0" fieldPosition="0">
        <references count="4">
          <reference field="0" count="1" selected="0">
            <x v="0"/>
          </reference>
          <reference field="3" count="1" selected="0">
            <x v="3"/>
          </reference>
          <reference field="7" count="0" selected="0"/>
          <reference field="1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4D66E-6C64-493A-9DAE-0280CBE83131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2:G55" firstHeaderRow="1" firstDataRow="2" firstDataCol="5"/>
  <pivotFields count="16"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compact="0" numFmtId="14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</pivotFields>
  <rowFields count="5">
    <field x="3"/>
    <field x="0"/>
    <field x="14"/>
    <field x="6"/>
    <field x="8"/>
  </rowFields>
  <rowItems count="52">
    <i>
      <x/>
      <x/>
      <x/>
      <x/>
      <x/>
    </i>
    <i r="4">
      <x v="1"/>
    </i>
    <i r="4">
      <x v="2"/>
    </i>
    <i r="3">
      <x v="1"/>
      <x/>
    </i>
    <i r="4">
      <x v="1"/>
    </i>
    <i r="4">
      <x v="2"/>
    </i>
    <i r="3">
      <x v="2"/>
      <x/>
    </i>
    <i r="4">
      <x v="1"/>
    </i>
    <i r="4">
      <x v="2"/>
    </i>
    <i t="default" r="2"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3">
      <x v="2"/>
      <x/>
    </i>
    <i r="4">
      <x v="1"/>
    </i>
    <i r="4">
      <x v="2"/>
    </i>
    <i t="default" r="2">
      <x/>
    </i>
    <i r="1">
      <x v="2"/>
      <x/>
      <x/>
      <x/>
    </i>
    <i r="4">
      <x v="1"/>
    </i>
    <i r="4">
      <x v="2"/>
    </i>
    <i r="3">
      <x v="1"/>
      <x/>
    </i>
    <i r="4">
      <x v="1"/>
    </i>
    <i r="4">
      <x v="2"/>
    </i>
    <i r="3">
      <x v="2"/>
      <x/>
    </i>
    <i r="4">
      <x v="1"/>
    </i>
    <i r="4">
      <x v="2"/>
    </i>
    <i t="default" r="2">
      <x/>
    </i>
    <i r="1">
      <x v="4"/>
      <x/>
      <x v="1"/>
      <x/>
    </i>
    <i r="4">
      <x v="1"/>
    </i>
    <i r="4">
      <x v="2"/>
    </i>
    <i t="default" r="2">
      <x/>
    </i>
    <i t="default">
      <x/>
    </i>
    <i>
      <x v="1"/>
      <x v="3"/>
      <x/>
      <x/>
      <x/>
    </i>
    <i r="4">
      <x v="1"/>
    </i>
    <i r="4">
      <x v="2"/>
    </i>
    <i r="3">
      <x v="1"/>
      <x/>
    </i>
    <i r="4">
      <x v="1"/>
    </i>
    <i r="4">
      <x v="2"/>
    </i>
    <i r="3">
      <x v="2"/>
      <x/>
    </i>
    <i r="4">
      <x v="1"/>
    </i>
    <i r="4">
      <x v="2"/>
    </i>
    <i t="default" r="2">
      <x/>
    </i>
    <i t="default">
      <x v="1"/>
    </i>
    <i>
      <x v="2"/>
      <x v="2"/>
      <x/>
      <x v="1"/>
      <x/>
    </i>
    <i r="4">
      <x v="1"/>
    </i>
    <i r="4">
      <x v="2"/>
    </i>
    <i t="default" r="2">
      <x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ult" fld="9" subtotal="count" baseField="10" baseItem="0"/>
    <dataField name="Sum of Exceed" fld="1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BF5B-6B03-4B9E-8770-AA482985E6B8}">
  <sheetPr>
    <tabColor theme="9" tint="0.79998168889431442"/>
  </sheetPr>
  <dimension ref="A1:M286"/>
  <sheetViews>
    <sheetView zoomScale="85" zoomScaleNormal="85" workbookViewId="0">
      <selection activeCell="K45" sqref="K45"/>
    </sheetView>
  </sheetViews>
  <sheetFormatPr defaultRowHeight="15" x14ac:dyDescent="0.25"/>
  <cols>
    <col min="1" max="1" width="15" customWidth="1"/>
    <col min="2" max="2" width="14" customWidth="1"/>
    <col min="4" max="4" width="16.140625" customWidth="1"/>
    <col min="5" max="5" width="32" customWidth="1"/>
    <col min="6" max="6" width="10.140625" customWidth="1"/>
    <col min="7" max="7" width="13.85546875" customWidth="1"/>
    <col min="9" max="9" width="10.5703125" customWidth="1"/>
    <col min="10" max="10" width="10" customWidth="1"/>
    <col min="11" max="12" width="12.85546875" customWidth="1"/>
  </cols>
  <sheetData>
    <row r="1" spans="1:13" ht="25.5" x14ac:dyDescent="0.25">
      <c r="A1" s="1" t="s">
        <v>0</v>
      </c>
      <c r="B1" s="1" t="s">
        <v>1</v>
      </c>
      <c r="C1" s="1" t="s">
        <v>59</v>
      </c>
      <c r="D1" s="2" t="s">
        <v>32</v>
      </c>
      <c r="E1" s="6" t="s">
        <v>12</v>
      </c>
      <c r="F1" s="7" t="s">
        <v>3</v>
      </c>
      <c r="G1" s="1" t="s">
        <v>4</v>
      </c>
      <c r="H1" s="1" t="s">
        <v>17</v>
      </c>
      <c r="I1" s="1" t="s">
        <v>18</v>
      </c>
      <c r="J1" s="15" t="s">
        <v>34</v>
      </c>
      <c r="K1" s="15" t="s">
        <v>35</v>
      </c>
      <c r="L1" s="19" t="s">
        <v>49</v>
      </c>
    </row>
    <row r="2" spans="1:13" x14ac:dyDescent="0.25">
      <c r="A2" t="s">
        <v>111</v>
      </c>
      <c r="B2" t="s">
        <v>108</v>
      </c>
      <c r="C2">
        <v>901.27</v>
      </c>
      <c r="F2" t="s">
        <v>19</v>
      </c>
      <c r="G2" t="s">
        <v>76</v>
      </c>
      <c r="H2">
        <v>33.563254970000003</v>
      </c>
      <c r="I2">
        <v>-117.54652304</v>
      </c>
      <c r="J2" t="s">
        <v>107</v>
      </c>
      <c r="K2" t="s">
        <v>26</v>
      </c>
      <c r="L2" s="21" t="s">
        <v>127</v>
      </c>
      <c r="M2" t="s">
        <v>117</v>
      </c>
    </row>
    <row r="3" spans="1:13" x14ac:dyDescent="0.25">
      <c r="A3" t="s">
        <v>111</v>
      </c>
      <c r="B3" t="s">
        <v>108</v>
      </c>
      <c r="C3">
        <v>901.27</v>
      </c>
      <c r="F3" t="s">
        <v>19</v>
      </c>
      <c r="G3" t="s">
        <v>76</v>
      </c>
      <c r="H3">
        <v>33.563254970000003</v>
      </c>
      <c r="I3">
        <v>-117.54652304</v>
      </c>
      <c r="J3" t="s">
        <v>115</v>
      </c>
      <c r="K3" t="s">
        <v>26</v>
      </c>
      <c r="L3" s="21" t="s">
        <v>127</v>
      </c>
    </row>
    <row r="4" spans="1:13" x14ac:dyDescent="0.25">
      <c r="A4" t="s">
        <v>111</v>
      </c>
      <c r="B4" t="s">
        <v>108</v>
      </c>
      <c r="C4">
        <v>901.27</v>
      </c>
      <c r="F4" t="s">
        <v>19</v>
      </c>
      <c r="G4" t="s">
        <v>76</v>
      </c>
      <c r="H4">
        <v>33.563254970000003</v>
      </c>
      <c r="I4">
        <v>-117.54652304</v>
      </c>
      <c r="J4" t="s">
        <v>116</v>
      </c>
      <c r="K4" t="s">
        <v>114</v>
      </c>
      <c r="L4" s="21" t="s">
        <v>127</v>
      </c>
    </row>
    <row r="5" spans="1:13" x14ac:dyDescent="0.25">
      <c r="A5" t="s">
        <v>111</v>
      </c>
      <c r="B5" t="s">
        <v>108</v>
      </c>
      <c r="C5">
        <v>901.27</v>
      </c>
      <c r="F5" t="s">
        <v>19</v>
      </c>
      <c r="G5" t="s">
        <v>105</v>
      </c>
      <c r="H5">
        <v>33.562708890000003</v>
      </c>
      <c r="I5">
        <v>-117.54673284</v>
      </c>
      <c r="J5" t="s">
        <v>107</v>
      </c>
      <c r="K5" t="s">
        <v>26</v>
      </c>
      <c r="L5" s="21" t="s">
        <v>127</v>
      </c>
    </row>
    <row r="6" spans="1:13" x14ac:dyDescent="0.25">
      <c r="A6" t="s">
        <v>111</v>
      </c>
      <c r="B6" t="s">
        <v>108</v>
      </c>
      <c r="C6">
        <v>901.27</v>
      </c>
      <c r="F6" t="s">
        <v>19</v>
      </c>
      <c r="G6" t="s">
        <v>105</v>
      </c>
      <c r="H6">
        <v>33.562708890000003</v>
      </c>
      <c r="I6">
        <v>-117.54673284</v>
      </c>
      <c r="J6" t="s">
        <v>115</v>
      </c>
      <c r="K6" t="s">
        <v>26</v>
      </c>
      <c r="L6" s="21" t="s">
        <v>127</v>
      </c>
    </row>
    <row r="7" spans="1:13" x14ac:dyDescent="0.25">
      <c r="A7" t="s">
        <v>111</v>
      </c>
      <c r="B7" t="s">
        <v>108</v>
      </c>
      <c r="C7">
        <v>901.27</v>
      </c>
      <c r="F7" t="s">
        <v>19</v>
      </c>
      <c r="G7" t="s">
        <v>105</v>
      </c>
      <c r="H7">
        <v>33.562708890000003</v>
      </c>
      <c r="I7">
        <v>-117.54673284</v>
      </c>
      <c r="J7" t="s">
        <v>116</v>
      </c>
      <c r="K7" t="s">
        <v>26</v>
      </c>
      <c r="L7" s="21" t="s">
        <v>127</v>
      </c>
    </row>
    <row r="8" spans="1:13" x14ac:dyDescent="0.25">
      <c r="A8" t="s">
        <v>111</v>
      </c>
      <c r="B8" t="s">
        <v>108</v>
      </c>
      <c r="C8">
        <v>901.27</v>
      </c>
      <c r="F8" t="s">
        <v>19</v>
      </c>
      <c r="G8" t="s">
        <v>103</v>
      </c>
      <c r="H8">
        <v>33.5249855</v>
      </c>
      <c r="I8">
        <v>-117.61511695999999</v>
      </c>
      <c r="J8" t="s">
        <v>107</v>
      </c>
      <c r="K8" t="s">
        <v>26</v>
      </c>
      <c r="L8" s="21" t="s">
        <v>127</v>
      </c>
    </row>
    <row r="9" spans="1:13" x14ac:dyDescent="0.25">
      <c r="A9" t="s">
        <v>111</v>
      </c>
      <c r="B9" t="s">
        <v>108</v>
      </c>
      <c r="C9">
        <v>901.27</v>
      </c>
      <c r="F9" t="s">
        <v>19</v>
      </c>
      <c r="G9" t="s">
        <v>103</v>
      </c>
      <c r="H9">
        <v>33.5249855</v>
      </c>
      <c r="I9">
        <v>-117.61511695999999</v>
      </c>
      <c r="J9" t="s">
        <v>115</v>
      </c>
      <c r="K9" t="s">
        <v>26</v>
      </c>
      <c r="L9" s="21" t="s">
        <v>127</v>
      </c>
    </row>
    <row r="10" spans="1:13" x14ac:dyDescent="0.25">
      <c r="A10" t="s">
        <v>111</v>
      </c>
      <c r="B10" t="s">
        <v>108</v>
      </c>
      <c r="C10">
        <v>901.27</v>
      </c>
      <c r="F10" t="s">
        <v>19</v>
      </c>
      <c r="G10" t="s">
        <v>103</v>
      </c>
      <c r="H10">
        <v>33.5249855</v>
      </c>
      <c r="I10">
        <v>-117.61511695999999</v>
      </c>
      <c r="J10" t="s">
        <v>116</v>
      </c>
      <c r="K10" t="s">
        <v>26</v>
      </c>
      <c r="L10" s="21" t="s">
        <v>127</v>
      </c>
    </row>
    <row r="11" spans="1:13" x14ac:dyDescent="0.25">
      <c r="A11" t="s">
        <v>111</v>
      </c>
      <c r="B11" t="s">
        <v>108</v>
      </c>
      <c r="C11">
        <v>901.27</v>
      </c>
      <c r="F11" t="s">
        <v>19</v>
      </c>
      <c r="G11" t="s">
        <v>102</v>
      </c>
      <c r="H11">
        <v>33.525572320000002</v>
      </c>
      <c r="I11">
        <v>-117.59730639</v>
      </c>
      <c r="J11" t="s">
        <v>107</v>
      </c>
      <c r="K11" t="s">
        <v>26</v>
      </c>
      <c r="L11" s="21" t="s">
        <v>127</v>
      </c>
    </row>
    <row r="12" spans="1:13" x14ac:dyDescent="0.25">
      <c r="A12" t="s">
        <v>111</v>
      </c>
      <c r="B12" t="s">
        <v>108</v>
      </c>
      <c r="C12">
        <v>901.27</v>
      </c>
      <c r="F12" t="s">
        <v>19</v>
      </c>
      <c r="G12" t="s">
        <v>102</v>
      </c>
      <c r="H12">
        <v>33.525572320000002</v>
      </c>
      <c r="I12">
        <v>-117.59730639</v>
      </c>
      <c r="J12" t="s">
        <v>115</v>
      </c>
      <c r="K12" t="s">
        <v>114</v>
      </c>
      <c r="L12" s="21" t="s">
        <v>127</v>
      </c>
    </row>
    <row r="13" spans="1:13" x14ac:dyDescent="0.25">
      <c r="A13" t="s">
        <v>111</v>
      </c>
      <c r="B13" t="s">
        <v>108</v>
      </c>
      <c r="C13">
        <v>901.27</v>
      </c>
      <c r="F13" t="s">
        <v>19</v>
      </c>
      <c r="G13" t="s">
        <v>102</v>
      </c>
      <c r="H13">
        <v>33.525572320000002</v>
      </c>
      <c r="I13">
        <v>-117.59730639</v>
      </c>
      <c r="J13" t="s">
        <v>116</v>
      </c>
      <c r="K13" t="s">
        <v>114</v>
      </c>
      <c r="L13" s="21" t="s">
        <v>127</v>
      </c>
    </row>
    <row r="14" spans="1:13" x14ac:dyDescent="0.25">
      <c r="A14" t="s">
        <v>111</v>
      </c>
      <c r="B14" t="s">
        <v>108</v>
      </c>
      <c r="C14">
        <v>901.27</v>
      </c>
      <c r="F14" t="s">
        <v>19</v>
      </c>
      <c r="G14" t="s">
        <v>80</v>
      </c>
      <c r="H14">
        <v>33.528467550000002</v>
      </c>
      <c r="I14">
        <v>-117.60762674999999</v>
      </c>
      <c r="J14" t="s">
        <v>107</v>
      </c>
      <c r="K14" t="s">
        <v>27</v>
      </c>
      <c r="L14" s="21" t="s">
        <v>127</v>
      </c>
    </row>
    <row r="15" spans="1:13" x14ac:dyDescent="0.25">
      <c r="A15" t="s">
        <v>111</v>
      </c>
      <c r="B15" t="s">
        <v>108</v>
      </c>
      <c r="C15">
        <v>901.27</v>
      </c>
      <c r="F15" t="s">
        <v>19</v>
      </c>
      <c r="G15" t="s">
        <v>80</v>
      </c>
      <c r="H15">
        <v>33.528467550000002</v>
      </c>
      <c r="I15">
        <v>-117.60762674999999</v>
      </c>
      <c r="J15" t="s">
        <v>115</v>
      </c>
      <c r="K15" t="s">
        <v>27</v>
      </c>
      <c r="L15" s="21" t="s">
        <v>127</v>
      </c>
    </row>
    <row r="16" spans="1:13" x14ac:dyDescent="0.25">
      <c r="A16" t="s">
        <v>111</v>
      </c>
      <c r="B16" t="s">
        <v>108</v>
      </c>
      <c r="C16">
        <v>901.27</v>
      </c>
      <c r="F16" t="s">
        <v>19</v>
      </c>
      <c r="G16" t="s">
        <v>80</v>
      </c>
      <c r="H16">
        <v>33.528467550000002</v>
      </c>
      <c r="I16">
        <v>-117.60762674999999</v>
      </c>
      <c r="J16" t="s">
        <v>116</v>
      </c>
      <c r="K16" t="s">
        <v>27</v>
      </c>
      <c r="L16" s="21" t="s">
        <v>127</v>
      </c>
    </row>
    <row r="17" spans="1:13" x14ac:dyDescent="0.25">
      <c r="A17" t="s">
        <v>111</v>
      </c>
      <c r="B17" t="s">
        <v>108</v>
      </c>
      <c r="C17">
        <v>901.27</v>
      </c>
      <c r="F17" t="s">
        <v>19</v>
      </c>
      <c r="G17" t="s">
        <v>85</v>
      </c>
      <c r="H17">
        <v>33.523884189999997</v>
      </c>
      <c r="I17">
        <v>-117.62291576</v>
      </c>
      <c r="J17" t="s">
        <v>107</v>
      </c>
      <c r="K17" t="s">
        <v>27</v>
      </c>
      <c r="L17" s="21" t="s">
        <v>127</v>
      </c>
    </row>
    <row r="18" spans="1:13" x14ac:dyDescent="0.25">
      <c r="A18" t="s">
        <v>111</v>
      </c>
      <c r="B18" t="s">
        <v>108</v>
      </c>
      <c r="C18">
        <v>901.27</v>
      </c>
      <c r="F18" t="s">
        <v>19</v>
      </c>
      <c r="G18" t="s">
        <v>85</v>
      </c>
      <c r="H18">
        <v>33.523884189999997</v>
      </c>
      <c r="I18">
        <v>-117.62291576</v>
      </c>
      <c r="J18" t="s">
        <v>115</v>
      </c>
      <c r="K18" t="s">
        <v>27</v>
      </c>
      <c r="L18" s="21" t="s">
        <v>127</v>
      </c>
    </row>
    <row r="19" spans="1:13" x14ac:dyDescent="0.25">
      <c r="A19" t="s">
        <v>111</v>
      </c>
      <c r="B19" t="s">
        <v>108</v>
      </c>
      <c r="C19">
        <v>901.27</v>
      </c>
      <c r="F19" t="s">
        <v>19</v>
      </c>
      <c r="G19" t="s">
        <v>85</v>
      </c>
      <c r="H19">
        <v>33.523884189999997</v>
      </c>
      <c r="I19">
        <v>-117.62291576</v>
      </c>
      <c r="J19" t="s">
        <v>116</v>
      </c>
      <c r="K19" t="s">
        <v>27</v>
      </c>
      <c r="L19" s="21" t="s">
        <v>127</v>
      </c>
    </row>
    <row r="20" spans="1:13" x14ac:dyDescent="0.25">
      <c r="A20" t="s">
        <v>109</v>
      </c>
      <c r="B20" t="s">
        <v>108</v>
      </c>
      <c r="C20">
        <v>901.27</v>
      </c>
      <c r="F20" t="s">
        <v>19</v>
      </c>
      <c r="G20" t="s">
        <v>70</v>
      </c>
      <c r="H20">
        <v>33.518669010000004</v>
      </c>
      <c r="I20">
        <v>-117.62568193</v>
      </c>
      <c r="J20" t="s">
        <v>107</v>
      </c>
      <c r="K20" t="s">
        <v>114</v>
      </c>
      <c r="L20" s="21" t="s">
        <v>127</v>
      </c>
    </row>
    <row r="21" spans="1:13" x14ac:dyDescent="0.25">
      <c r="A21" t="s">
        <v>109</v>
      </c>
      <c r="B21" t="s">
        <v>108</v>
      </c>
      <c r="C21">
        <v>901.27</v>
      </c>
      <c r="F21" t="s">
        <v>19</v>
      </c>
      <c r="G21" t="s">
        <v>70</v>
      </c>
      <c r="H21">
        <v>33.518669010000004</v>
      </c>
      <c r="I21">
        <v>-117.62568193</v>
      </c>
      <c r="J21" t="s">
        <v>115</v>
      </c>
      <c r="K21" t="s">
        <v>114</v>
      </c>
      <c r="L21" s="21" t="s">
        <v>127</v>
      </c>
    </row>
    <row r="22" spans="1:13" x14ac:dyDescent="0.25">
      <c r="A22" t="s">
        <v>109</v>
      </c>
      <c r="B22" t="s">
        <v>108</v>
      </c>
      <c r="C22">
        <v>901.27</v>
      </c>
      <c r="F22" t="s">
        <v>19</v>
      </c>
      <c r="G22" t="s">
        <v>70</v>
      </c>
      <c r="H22">
        <v>33.518669010000004</v>
      </c>
      <c r="I22">
        <v>-117.62568193</v>
      </c>
      <c r="J22" t="s">
        <v>116</v>
      </c>
      <c r="K22" t="s">
        <v>114</v>
      </c>
      <c r="L22" s="21" t="s">
        <v>127</v>
      </c>
    </row>
    <row r="23" spans="1:13" x14ac:dyDescent="0.25">
      <c r="A23" t="s">
        <v>109</v>
      </c>
      <c r="B23" t="s">
        <v>108</v>
      </c>
      <c r="C23">
        <v>901.27</v>
      </c>
      <c r="F23" t="s">
        <v>19</v>
      </c>
      <c r="G23" t="s">
        <v>65</v>
      </c>
      <c r="H23">
        <v>33.518602979999997</v>
      </c>
      <c r="I23">
        <v>-117.62572075999999</v>
      </c>
      <c r="J23" t="s">
        <v>107</v>
      </c>
      <c r="K23" t="s">
        <v>114</v>
      </c>
      <c r="L23" s="21" t="s">
        <v>127</v>
      </c>
    </row>
    <row r="24" spans="1:13" x14ac:dyDescent="0.25">
      <c r="A24" t="s">
        <v>109</v>
      </c>
      <c r="B24" t="s">
        <v>108</v>
      </c>
      <c r="C24">
        <v>901.27</v>
      </c>
      <c r="F24" t="s">
        <v>19</v>
      </c>
      <c r="G24" t="s">
        <v>65</v>
      </c>
      <c r="H24">
        <v>33.518602979999997</v>
      </c>
      <c r="I24">
        <v>-117.62572075999999</v>
      </c>
      <c r="J24" t="s">
        <v>115</v>
      </c>
      <c r="K24" t="s">
        <v>26</v>
      </c>
      <c r="L24" s="21" t="s">
        <v>127</v>
      </c>
    </row>
    <row r="25" spans="1:13" x14ac:dyDescent="0.25">
      <c r="A25" t="s">
        <v>109</v>
      </c>
      <c r="B25" t="s">
        <v>108</v>
      </c>
      <c r="C25">
        <v>901.27</v>
      </c>
      <c r="F25" t="s">
        <v>19</v>
      </c>
      <c r="G25" t="s">
        <v>65</v>
      </c>
      <c r="H25">
        <v>33.518602979999997</v>
      </c>
      <c r="I25">
        <v>-117.62572075999999</v>
      </c>
      <c r="J25" t="s">
        <v>116</v>
      </c>
      <c r="K25" t="s">
        <v>27</v>
      </c>
      <c r="L25" s="21" t="s">
        <v>127</v>
      </c>
    </row>
    <row r="26" spans="1:13" x14ac:dyDescent="0.25">
      <c r="A26" t="s">
        <v>111</v>
      </c>
      <c r="B26" t="s">
        <v>108</v>
      </c>
      <c r="C26">
        <v>901.27</v>
      </c>
      <c r="F26" t="s">
        <v>19</v>
      </c>
      <c r="G26" t="s">
        <v>87</v>
      </c>
      <c r="H26">
        <v>33.522662439999998</v>
      </c>
      <c r="I26">
        <v>-117.62028151</v>
      </c>
      <c r="J26" t="s">
        <v>107</v>
      </c>
      <c r="K26" t="s">
        <v>26</v>
      </c>
      <c r="L26" s="21" t="s">
        <v>127</v>
      </c>
      <c r="M26" t="s">
        <v>118</v>
      </c>
    </row>
    <row r="27" spans="1:13" x14ac:dyDescent="0.25">
      <c r="A27" t="s">
        <v>111</v>
      </c>
      <c r="B27" t="s">
        <v>108</v>
      </c>
      <c r="C27">
        <v>901.27</v>
      </c>
      <c r="F27" t="s">
        <v>19</v>
      </c>
      <c r="G27" t="s">
        <v>87</v>
      </c>
      <c r="H27">
        <v>33.522662439999998</v>
      </c>
      <c r="I27">
        <v>-117.62028151</v>
      </c>
      <c r="J27" t="s">
        <v>115</v>
      </c>
      <c r="K27" t="s">
        <v>27</v>
      </c>
      <c r="L27" s="21" t="s">
        <v>127</v>
      </c>
    </row>
    <row r="28" spans="1:13" x14ac:dyDescent="0.25">
      <c r="A28" t="s">
        <v>111</v>
      </c>
      <c r="B28" t="s">
        <v>108</v>
      </c>
      <c r="C28">
        <v>901.27</v>
      </c>
      <c r="F28" t="s">
        <v>19</v>
      </c>
      <c r="G28" t="s">
        <v>87</v>
      </c>
      <c r="H28">
        <v>33.522662439999998</v>
      </c>
      <c r="I28">
        <v>-117.62028151</v>
      </c>
      <c r="J28" t="s">
        <v>116</v>
      </c>
      <c r="K28" t="s">
        <v>26</v>
      </c>
      <c r="L28" s="21" t="s">
        <v>127</v>
      </c>
    </row>
    <row r="29" spans="1:13" x14ac:dyDescent="0.25">
      <c r="A29" t="s">
        <v>111</v>
      </c>
      <c r="B29" t="s">
        <v>108</v>
      </c>
      <c r="C29">
        <v>901.27</v>
      </c>
      <c r="F29" t="s">
        <v>19</v>
      </c>
      <c r="G29" t="s">
        <v>64</v>
      </c>
      <c r="H29">
        <v>33.524113579999998</v>
      </c>
      <c r="I29">
        <v>-117.61898895</v>
      </c>
      <c r="J29" t="s">
        <v>107</v>
      </c>
      <c r="K29" t="s">
        <v>26</v>
      </c>
      <c r="L29" s="21" t="s">
        <v>127</v>
      </c>
      <c r="M29" t="s">
        <v>118</v>
      </c>
    </row>
    <row r="30" spans="1:13" x14ac:dyDescent="0.25">
      <c r="A30" t="s">
        <v>111</v>
      </c>
      <c r="B30" t="s">
        <v>108</v>
      </c>
      <c r="C30">
        <v>901.27</v>
      </c>
      <c r="F30" t="s">
        <v>19</v>
      </c>
      <c r="G30" t="s">
        <v>64</v>
      </c>
      <c r="H30">
        <v>33.524113579999998</v>
      </c>
      <c r="I30">
        <v>-117.61898895</v>
      </c>
      <c r="J30" t="s">
        <v>115</v>
      </c>
      <c r="K30" t="s">
        <v>27</v>
      </c>
      <c r="L30" s="21" t="s">
        <v>127</v>
      </c>
    </row>
    <row r="31" spans="1:13" x14ac:dyDescent="0.25">
      <c r="A31" t="s">
        <v>111</v>
      </c>
      <c r="B31" t="s">
        <v>108</v>
      </c>
      <c r="C31">
        <v>901.27</v>
      </c>
      <c r="F31" t="s">
        <v>19</v>
      </c>
      <c r="G31" t="s">
        <v>64</v>
      </c>
      <c r="H31">
        <v>33.524113579999998</v>
      </c>
      <c r="I31">
        <v>-117.61898895</v>
      </c>
      <c r="J31" t="s">
        <v>116</v>
      </c>
      <c r="K31" t="s">
        <v>27</v>
      </c>
      <c r="L31" s="21" t="s">
        <v>127</v>
      </c>
    </row>
    <row r="32" spans="1:13" x14ac:dyDescent="0.25">
      <c r="A32" t="s">
        <v>111</v>
      </c>
      <c r="B32" t="s">
        <v>108</v>
      </c>
      <c r="C32">
        <v>901.27</v>
      </c>
      <c r="F32" t="s">
        <v>19</v>
      </c>
      <c r="G32" t="s">
        <v>79</v>
      </c>
      <c r="H32">
        <v>33.52425393</v>
      </c>
      <c r="I32">
        <v>-117.61954366000001</v>
      </c>
      <c r="J32" t="s">
        <v>107</v>
      </c>
      <c r="K32" t="s">
        <v>114</v>
      </c>
      <c r="L32" s="21" t="s">
        <v>127</v>
      </c>
    </row>
    <row r="33" spans="1:12" x14ac:dyDescent="0.25">
      <c r="A33" t="s">
        <v>111</v>
      </c>
      <c r="B33" t="s">
        <v>108</v>
      </c>
      <c r="C33">
        <v>901.27</v>
      </c>
      <c r="F33" t="s">
        <v>19</v>
      </c>
      <c r="G33" t="s">
        <v>79</v>
      </c>
      <c r="H33">
        <v>33.52425393</v>
      </c>
      <c r="I33">
        <v>-117.61954366000001</v>
      </c>
      <c r="J33" t="s">
        <v>115</v>
      </c>
      <c r="K33" t="s">
        <v>114</v>
      </c>
      <c r="L33" s="21" t="s">
        <v>127</v>
      </c>
    </row>
    <row r="34" spans="1:12" x14ac:dyDescent="0.25">
      <c r="A34" t="s">
        <v>111</v>
      </c>
      <c r="B34" t="s">
        <v>108</v>
      </c>
      <c r="C34">
        <v>901.27</v>
      </c>
      <c r="F34" t="s">
        <v>19</v>
      </c>
      <c r="G34" t="s">
        <v>79</v>
      </c>
      <c r="H34">
        <v>33.52425393</v>
      </c>
      <c r="I34">
        <v>-117.61954366000001</v>
      </c>
      <c r="J34" t="s">
        <v>116</v>
      </c>
      <c r="K34" t="s">
        <v>114</v>
      </c>
      <c r="L34" s="21" t="s">
        <v>127</v>
      </c>
    </row>
    <row r="35" spans="1:12" x14ac:dyDescent="0.25">
      <c r="A35" t="s">
        <v>109</v>
      </c>
      <c r="B35" t="s">
        <v>108</v>
      </c>
      <c r="C35">
        <v>901.27</v>
      </c>
      <c r="F35" t="s">
        <v>19</v>
      </c>
      <c r="G35" t="s">
        <v>106</v>
      </c>
      <c r="H35">
        <v>33.518737000000002</v>
      </c>
      <c r="I35">
        <v>-117.6245</v>
      </c>
      <c r="J35" t="s">
        <v>107</v>
      </c>
      <c r="K35" t="s">
        <v>114</v>
      </c>
      <c r="L35" s="21" t="s">
        <v>127</v>
      </c>
    </row>
    <row r="36" spans="1:12" x14ac:dyDescent="0.25">
      <c r="A36" t="s">
        <v>109</v>
      </c>
      <c r="B36" t="s">
        <v>108</v>
      </c>
      <c r="C36">
        <v>901.27</v>
      </c>
      <c r="F36" t="s">
        <v>19</v>
      </c>
      <c r="G36" t="s">
        <v>106</v>
      </c>
      <c r="H36">
        <v>33.518737000000002</v>
      </c>
      <c r="I36">
        <v>-117.6245</v>
      </c>
      <c r="J36" t="s">
        <v>115</v>
      </c>
      <c r="K36" t="s">
        <v>26</v>
      </c>
      <c r="L36" s="21" t="s">
        <v>127</v>
      </c>
    </row>
    <row r="37" spans="1:12" x14ac:dyDescent="0.25">
      <c r="A37" t="s">
        <v>109</v>
      </c>
      <c r="B37" t="s">
        <v>108</v>
      </c>
      <c r="C37">
        <v>901.27</v>
      </c>
      <c r="F37" t="s">
        <v>19</v>
      </c>
      <c r="G37" t="s">
        <v>106</v>
      </c>
      <c r="H37">
        <v>33.518737000000002</v>
      </c>
      <c r="I37">
        <v>-117.6245</v>
      </c>
      <c r="J37" t="s">
        <v>116</v>
      </c>
      <c r="K37" t="s">
        <v>114</v>
      </c>
      <c r="L37" s="21" t="s">
        <v>127</v>
      </c>
    </row>
    <row r="38" spans="1:12" x14ac:dyDescent="0.25">
      <c r="A38" t="s">
        <v>109</v>
      </c>
      <c r="B38" t="s">
        <v>108</v>
      </c>
      <c r="C38">
        <v>901.27</v>
      </c>
      <c r="F38" t="s">
        <v>19</v>
      </c>
      <c r="G38" t="s">
        <v>93</v>
      </c>
      <c r="H38">
        <v>33.505530720000003</v>
      </c>
      <c r="I38">
        <v>-117.64514276</v>
      </c>
      <c r="J38" t="s">
        <v>107</v>
      </c>
      <c r="K38" t="s">
        <v>27</v>
      </c>
      <c r="L38" s="21" t="s">
        <v>127</v>
      </c>
    </row>
    <row r="39" spans="1:12" x14ac:dyDescent="0.25">
      <c r="A39" t="s">
        <v>109</v>
      </c>
      <c r="B39" t="s">
        <v>108</v>
      </c>
      <c r="C39">
        <v>901.27</v>
      </c>
      <c r="F39" t="s">
        <v>19</v>
      </c>
      <c r="G39" t="s">
        <v>93</v>
      </c>
      <c r="H39">
        <v>33.505530720000003</v>
      </c>
      <c r="I39">
        <v>-117.64514276</v>
      </c>
      <c r="J39" t="s">
        <v>115</v>
      </c>
      <c r="K39" t="s">
        <v>27</v>
      </c>
      <c r="L39" s="21" t="s">
        <v>127</v>
      </c>
    </row>
    <row r="40" spans="1:12" x14ac:dyDescent="0.25">
      <c r="A40" t="s">
        <v>109</v>
      </c>
      <c r="B40" t="s">
        <v>108</v>
      </c>
      <c r="C40">
        <v>901.27</v>
      </c>
      <c r="F40" t="s">
        <v>19</v>
      </c>
      <c r="G40" t="s">
        <v>93</v>
      </c>
      <c r="H40">
        <v>33.505530720000003</v>
      </c>
      <c r="I40">
        <v>-117.64514276</v>
      </c>
      <c r="J40" t="s">
        <v>116</v>
      </c>
      <c r="K40" t="s">
        <v>27</v>
      </c>
      <c r="L40" s="21" t="s">
        <v>127</v>
      </c>
    </row>
    <row r="41" spans="1:12" x14ac:dyDescent="0.25">
      <c r="A41" t="s">
        <v>109</v>
      </c>
      <c r="B41" t="s">
        <v>108</v>
      </c>
      <c r="C41">
        <v>901.27</v>
      </c>
      <c r="F41" t="s">
        <v>19</v>
      </c>
      <c r="G41" t="s">
        <v>88</v>
      </c>
      <c r="H41">
        <v>33.481723930000001</v>
      </c>
      <c r="I41">
        <v>-117.67788801</v>
      </c>
      <c r="J41" t="s">
        <v>107</v>
      </c>
      <c r="K41" t="s">
        <v>114</v>
      </c>
      <c r="L41" s="21" t="s">
        <v>127</v>
      </c>
    </row>
    <row r="42" spans="1:12" x14ac:dyDescent="0.25">
      <c r="A42" t="s">
        <v>109</v>
      </c>
      <c r="B42" t="s">
        <v>108</v>
      </c>
      <c r="C42">
        <v>901.27</v>
      </c>
      <c r="F42" t="s">
        <v>19</v>
      </c>
      <c r="G42" t="s">
        <v>88</v>
      </c>
      <c r="H42">
        <v>33.481723930000001</v>
      </c>
      <c r="I42">
        <v>-117.67788801</v>
      </c>
      <c r="J42" t="s">
        <v>115</v>
      </c>
      <c r="K42" t="s">
        <v>114</v>
      </c>
      <c r="L42" s="21" t="s">
        <v>127</v>
      </c>
    </row>
    <row r="43" spans="1:12" x14ac:dyDescent="0.25">
      <c r="A43" t="s">
        <v>109</v>
      </c>
      <c r="B43" t="s">
        <v>108</v>
      </c>
      <c r="C43">
        <v>901.27</v>
      </c>
      <c r="F43" t="s">
        <v>19</v>
      </c>
      <c r="G43" t="s">
        <v>88</v>
      </c>
      <c r="H43">
        <v>33.481723930000001</v>
      </c>
      <c r="I43">
        <v>-117.67788801</v>
      </c>
      <c r="J43" t="s">
        <v>116</v>
      </c>
      <c r="K43" t="s">
        <v>114</v>
      </c>
      <c r="L43" s="21" t="s">
        <v>127</v>
      </c>
    </row>
    <row r="44" spans="1:12" x14ac:dyDescent="0.25">
      <c r="A44" t="s">
        <v>109</v>
      </c>
      <c r="B44" t="s">
        <v>108</v>
      </c>
      <c r="C44">
        <v>901.27</v>
      </c>
      <c r="F44" t="s">
        <v>19</v>
      </c>
      <c r="G44" t="s">
        <v>78</v>
      </c>
      <c r="H44">
        <v>33.498286739999998</v>
      </c>
      <c r="I44">
        <v>-117.65367680999999</v>
      </c>
      <c r="J44" t="s">
        <v>107</v>
      </c>
      <c r="K44" t="s">
        <v>27</v>
      </c>
      <c r="L44" s="21" t="s">
        <v>127</v>
      </c>
    </row>
    <row r="45" spans="1:12" x14ac:dyDescent="0.25">
      <c r="A45" t="s">
        <v>109</v>
      </c>
      <c r="B45" t="s">
        <v>108</v>
      </c>
      <c r="C45">
        <v>901.27</v>
      </c>
      <c r="F45" t="s">
        <v>19</v>
      </c>
      <c r="G45" t="s">
        <v>78</v>
      </c>
      <c r="H45">
        <v>33.498286739999998</v>
      </c>
      <c r="I45">
        <v>-117.65367680999999</v>
      </c>
      <c r="J45" t="s">
        <v>115</v>
      </c>
      <c r="K45" t="s">
        <v>27</v>
      </c>
      <c r="L45" s="21" t="s">
        <v>127</v>
      </c>
    </row>
    <row r="46" spans="1:12" x14ac:dyDescent="0.25">
      <c r="A46" t="s">
        <v>109</v>
      </c>
      <c r="B46" t="s">
        <v>108</v>
      </c>
      <c r="C46">
        <v>901.27</v>
      </c>
      <c r="F46" t="s">
        <v>19</v>
      </c>
      <c r="G46" t="s">
        <v>78</v>
      </c>
      <c r="H46">
        <v>33.498286739999998</v>
      </c>
      <c r="I46">
        <v>-117.65367680999999</v>
      </c>
      <c r="J46" t="s">
        <v>116</v>
      </c>
      <c r="K46" t="s">
        <v>27</v>
      </c>
      <c r="L46" s="21" t="s">
        <v>127</v>
      </c>
    </row>
    <row r="47" spans="1:12" x14ac:dyDescent="0.25">
      <c r="A47" t="s">
        <v>109</v>
      </c>
      <c r="B47" t="s">
        <v>108</v>
      </c>
      <c r="C47">
        <v>901.27</v>
      </c>
      <c r="F47" t="s">
        <v>19</v>
      </c>
      <c r="G47" t="s">
        <v>90</v>
      </c>
      <c r="H47">
        <v>33.500046500000003</v>
      </c>
      <c r="I47">
        <v>-117.65217063999999</v>
      </c>
      <c r="J47" t="s">
        <v>107</v>
      </c>
      <c r="K47" t="s">
        <v>27</v>
      </c>
      <c r="L47" s="21" t="s">
        <v>127</v>
      </c>
    </row>
    <row r="48" spans="1:12" x14ac:dyDescent="0.25">
      <c r="A48" t="s">
        <v>109</v>
      </c>
      <c r="B48" t="s">
        <v>108</v>
      </c>
      <c r="C48">
        <v>901.27</v>
      </c>
      <c r="F48" t="s">
        <v>19</v>
      </c>
      <c r="G48" t="s">
        <v>90</v>
      </c>
      <c r="H48">
        <v>33.500046500000003</v>
      </c>
      <c r="I48">
        <v>-117.65217063999999</v>
      </c>
      <c r="J48" t="s">
        <v>115</v>
      </c>
      <c r="K48" t="s">
        <v>27</v>
      </c>
      <c r="L48" s="21" t="s">
        <v>127</v>
      </c>
    </row>
    <row r="49" spans="1:13" x14ac:dyDescent="0.25">
      <c r="A49" t="s">
        <v>109</v>
      </c>
      <c r="B49" t="s">
        <v>108</v>
      </c>
      <c r="C49">
        <v>901.27</v>
      </c>
      <c r="F49" t="s">
        <v>19</v>
      </c>
      <c r="G49" t="s">
        <v>90</v>
      </c>
      <c r="H49">
        <v>33.500046500000003</v>
      </c>
      <c r="I49">
        <v>-117.65217063999999</v>
      </c>
      <c r="J49" t="s">
        <v>116</v>
      </c>
      <c r="K49" t="s">
        <v>27</v>
      </c>
      <c r="L49" s="21" t="s">
        <v>127</v>
      </c>
    </row>
    <row r="50" spans="1:13" x14ac:dyDescent="0.25">
      <c r="A50" t="s">
        <v>109</v>
      </c>
      <c r="B50" t="s">
        <v>108</v>
      </c>
      <c r="C50">
        <v>901.27</v>
      </c>
      <c r="F50" t="s">
        <v>19</v>
      </c>
      <c r="G50" t="s">
        <v>67</v>
      </c>
      <c r="H50">
        <v>33.500487720000002</v>
      </c>
      <c r="I50">
        <v>-117.65036582</v>
      </c>
      <c r="J50" t="s">
        <v>107</v>
      </c>
      <c r="K50" t="s">
        <v>27</v>
      </c>
      <c r="L50" s="21" t="s">
        <v>127</v>
      </c>
    </row>
    <row r="51" spans="1:13" x14ac:dyDescent="0.25">
      <c r="A51" t="s">
        <v>109</v>
      </c>
      <c r="B51" t="s">
        <v>108</v>
      </c>
      <c r="C51">
        <v>901.27</v>
      </c>
      <c r="F51" t="s">
        <v>19</v>
      </c>
      <c r="G51" t="s">
        <v>67</v>
      </c>
      <c r="H51">
        <v>33.500487720000002</v>
      </c>
      <c r="I51">
        <v>-117.65036582</v>
      </c>
      <c r="J51" t="s">
        <v>115</v>
      </c>
      <c r="K51" t="s">
        <v>27</v>
      </c>
      <c r="L51" s="21" t="s">
        <v>127</v>
      </c>
    </row>
    <row r="52" spans="1:13" x14ac:dyDescent="0.25">
      <c r="A52" t="s">
        <v>109</v>
      </c>
      <c r="B52" t="s">
        <v>108</v>
      </c>
      <c r="C52">
        <v>901.27</v>
      </c>
      <c r="F52" t="s">
        <v>19</v>
      </c>
      <c r="G52" t="s">
        <v>67</v>
      </c>
      <c r="H52">
        <v>33.500487720000002</v>
      </c>
      <c r="I52">
        <v>-117.65036582</v>
      </c>
      <c r="J52" t="s">
        <v>116</v>
      </c>
      <c r="K52" t="s">
        <v>27</v>
      </c>
      <c r="L52" s="21" t="s">
        <v>127</v>
      </c>
    </row>
    <row r="53" spans="1:13" x14ac:dyDescent="0.25">
      <c r="A53" t="s">
        <v>109</v>
      </c>
      <c r="B53" t="s">
        <v>108</v>
      </c>
      <c r="C53">
        <v>901.27</v>
      </c>
      <c r="F53" t="s">
        <v>19</v>
      </c>
      <c r="G53" t="s">
        <v>74</v>
      </c>
      <c r="H53">
        <v>33.501555240000002</v>
      </c>
      <c r="I53">
        <v>-117.65002115999999</v>
      </c>
      <c r="J53" t="s">
        <v>107</v>
      </c>
      <c r="K53" t="s">
        <v>26</v>
      </c>
      <c r="L53" s="21" t="s">
        <v>127</v>
      </c>
      <c r="M53" t="s">
        <v>118</v>
      </c>
    </row>
    <row r="54" spans="1:13" x14ac:dyDescent="0.25">
      <c r="A54" t="s">
        <v>109</v>
      </c>
      <c r="B54" t="s">
        <v>108</v>
      </c>
      <c r="C54">
        <v>901.27</v>
      </c>
      <c r="F54" t="s">
        <v>19</v>
      </c>
      <c r="G54" t="s">
        <v>74</v>
      </c>
      <c r="H54">
        <v>33.501555240000002</v>
      </c>
      <c r="I54">
        <v>-117.65002115999999</v>
      </c>
      <c r="J54" t="s">
        <v>115</v>
      </c>
      <c r="K54" t="s">
        <v>26</v>
      </c>
      <c r="L54" s="21" t="s">
        <v>127</v>
      </c>
      <c r="M54" t="s">
        <v>118</v>
      </c>
    </row>
    <row r="55" spans="1:13" x14ac:dyDescent="0.25">
      <c r="A55" t="s">
        <v>109</v>
      </c>
      <c r="B55" t="s">
        <v>108</v>
      </c>
      <c r="C55">
        <v>901.27</v>
      </c>
      <c r="F55" t="s">
        <v>19</v>
      </c>
      <c r="G55" t="s">
        <v>74</v>
      </c>
      <c r="H55">
        <v>33.501555240000002</v>
      </c>
      <c r="I55">
        <v>-117.65002115999999</v>
      </c>
      <c r="J55" t="s">
        <v>116</v>
      </c>
      <c r="K55" t="s">
        <v>26</v>
      </c>
      <c r="L55" s="21" t="s">
        <v>127</v>
      </c>
    </row>
    <row r="56" spans="1:13" x14ac:dyDescent="0.25">
      <c r="A56" t="s">
        <v>109</v>
      </c>
      <c r="B56" t="s">
        <v>108</v>
      </c>
      <c r="C56">
        <v>901.27</v>
      </c>
      <c r="F56" t="s">
        <v>19</v>
      </c>
      <c r="G56" t="s">
        <v>89</v>
      </c>
      <c r="H56">
        <v>33.5025008</v>
      </c>
      <c r="I56">
        <v>-117.6485177</v>
      </c>
      <c r="J56" t="s">
        <v>107</v>
      </c>
      <c r="K56" t="s">
        <v>26</v>
      </c>
      <c r="L56" s="21" t="s">
        <v>127</v>
      </c>
    </row>
    <row r="57" spans="1:13" x14ac:dyDescent="0.25">
      <c r="A57" t="s">
        <v>109</v>
      </c>
      <c r="B57" t="s">
        <v>108</v>
      </c>
      <c r="C57">
        <v>901.27</v>
      </c>
      <c r="F57" t="s">
        <v>19</v>
      </c>
      <c r="G57" t="s">
        <v>89</v>
      </c>
      <c r="H57">
        <v>33.5025008</v>
      </c>
      <c r="I57">
        <v>-117.6485177</v>
      </c>
      <c r="J57" t="s">
        <v>115</v>
      </c>
      <c r="K57" t="s">
        <v>114</v>
      </c>
      <c r="L57" s="21" t="s">
        <v>127</v>
      </c>
    </row>
    <row r="58" spans="1:13" x14ac:dyDescent="0.25">
      <c r="A58" t="s">
        <v>109</v>
      </c>
      <c r="B58" t="s">
        <v>108</v>
      </c>
      <c r="C58">
        <v>901.27</v>
      </c>
      <c r="F58" t="s">
        <v>19</v>
      </c>
      <c r="G58" t="s">
        <v>89</v>
      </c>
      <c r="H58">
        <v>33.5025008</v>
      </c>
      <c r="I58">
        <v>-117.6485177</v>
      </c>
      <c r="J58" t="s">
        <v>116</v>
      </c>
      <c r="K58" t="s">
        <v>114</v>
      </c>
      <c r="L58" s="21" t="s">
        <v>127</v>
      </c>
    </row>
    <row r="59" spans="1:13" x14ac:dyDescent="0.25">
      <c r="A59" t="s">
        <v>109</v>
      </c>
      <c r="B59" t="s">
        <v>108</v>
      </c>
      <c r="C59">
        <v>901.27</v>
      </c>
      <c r="F59" t="s">
        <v>19</v>
      </c>
      <c r="G59" t="s">
        <v>68</v>
      </c>
      <c r="H59">
        <v>33.501987999999997</v>
      </c>
      <c r="I59">
        <v>-117.64812000000001</v>
      </c>
      <c r="J59" t="s">
        <v>107</v>
      </c>
      <c r="K59" t="s">
        <v>27</v>
      </c>
      <c r="L59" s="21" t="s">
        <v>127</v>
      </c>
    </row>
    <row r="60" spans="1:13" x14ac:dyDescent="0.25">
      <c r="A60" t="s">
        <v>109</v>
      </c>
      <c r="B60" t="s">
        <v>108</v>
      </c>
      <c r="C60">
        <v>901.27</v>
      </c>
      <c r="F60" t="s">
        <v>19</v>
      </c>
      <c r="G60" t="s">
        <v>68</v>
      </c>
      <c r="H60">
        <v>33.501987999999997</v>
      </c>
      <c r="I60">
        <v>-117.64812000000001</v>
      </c>
      <c r="J60" t="s">
        <v>115</v>
      </c>
      <c r="K60" t="s">
        <v>27</v>
      </c>
      <c r="L60" s="21" t="s">
        <v>127</v>
      </c>
    </row>
    <row r="61" spans="1:13" x14ac:dyDescent="0.25">
      <c r="A61" t="s">
        <v>109</v>
      </c>
      <c r="B61" t="s">
        <v>108</v>
      </c>
      <c r="C61">
        <v>901.27</v>
      </c>
      <c r="F61" t="s">
        <v>19</v>
      </c>
      <c r="G61" t="s">
        <v>68</v>
      </c>
      <c r="H61">
        <v>33.501987999999997</v>
      </c>
      <c r="I61">
        <v>-117.64812000000001</v>
      </c>
      <c r="J61" t="s">
        <v>116</v>
      </c>
      <c r="K61" t="s">
        <v>27</v>
      </c>
      <c r="L61" s="21" t="s">
        <v>127</v>
      </c>
    </row>
    <row r="62" spans="1:13" x14ac:dyDescent="0.25">
      <c r="A62" t="s">
        <v>109</v>
      </c>
      <c r="B62" t="s">
        <v>108</v>
      </c>
      <c r="C62">
        <v>901.27</v>
      </c>
      <c r="F62" t="s">
        <v>19</v>
      </c>
      <c r="G62" t="s">
        <v>81</v>
      </c>
      <c r="H62">
        <v>33.483186089999997</v>
      </c>
      <c r="I62">
        <v>-117.67706262</v>
      </c>
      <c r="J62" t="s">
        <v>107</v>
      </c>
      <c r="K62" t="s">
        <v>27</v>
      </c>
      <c r="L62" s="21" t="s">
        <v>127</v>
      </c>
    </row>
    <row r="63" spans="1:13" x14ac:dyDescent="0.25">
      <c r="A63" t="s">
        <v>109</v>
      </c>
      <c r="B63" t="s">
        <v>108</v>
      </c>
      <c r="C63">
        <v>901.27</v>
      </c>
      <c r="F63" t="s">
        <v>19</v>
      </c>
      <c r="G63" t="s">
        <v>81</v>
      </c>
      <c r="H63">
        <v>33.483186089999997</v>
      </c>
      <c r="I63">
        <v>-117.67706262</v>
      </c>
      <c r="J63" t="s">
        <v>115</v>
      </c>
      <c r="K63" t="s">
        <v>27</v>
      </c>
      <c r="L63" s="21" t="s">
        <v>127</v>
      </c>
    </row>
    <row r="64" spans="1:13" x14ac:dyDescent="0.25">
      <c r="A64" t="s">
        <v>109</v>
      </c>
      <c r="B64" t="s">
        <v>108</v>
      </c>
      <c r="C64">
        <v>901.27</v>
      </c>
      <c r="F64" t="s">
        <v>19</v>
      </c>
      <c r="G64" t="s">
        <v>81</v>
      </c>
      <c r="H64">
        <v>33.483186089999997</v>
      </c>
      <c r="I64">
        <v>-117.67706262</v>
      </c>
      <c r="J64" t="s">
        <v>116</v>
      </c>
      <c r="K64" t="s">
        <v>27</v>
      </c>
      <c r="L64" s="21" t="s">
        <v>127</v>
      </c>
    </row>
    <row r="65" spans="1:13" x14ac:dyDescent="0.25">
      <c r="A65" t="s">
        <v>109</v>
      </c>
      <c r="B65" t="s">
        <v>108</v>
      </c>
      <c r="C65">
        <v>901.27</v>
      </c>
      <c r="F65" t="s">
        <v>19</v>
      </c>
      <c r="G65" t="s">
        <v>77</v>
      </c>
      <c r="H65">
        <v>33.483479729999999</v>
      </c>
      <c r="I65">
        <v>-117.67720353</v>
      </c>
      <c r="J65" t="s">
        <v>107</v>
      </c>
      <c r="K65" t="s">
        <v>114</v>
      </c>
      <c r="L65" s="21" t="s">
        <v>127</v>
      </c>
    </row>
    <row r="66" spans="1:13" x14ac:dyDescent="0.25">
      <c r="A66" t="s">
        <v>109</v>
      </c>
      <c r="B66" t="s">
        <v>108</v>
      </c>
      <c r="C66">
        <v>901.27</v>
      </c>
      <c r="F66" t="s">
        <v>19</v>
      </c>
      <c r="G66" t="s">
        <v>77</v>
      </c>
      <c r="H66">
        <v>33.483479729999999</v>
      </c>
      <c r="I66">
        <v>-117.67720353</v>
      </c>
      <c r="J66" t="s">
        <v>115</v>
      </c>
      <c r="K66" t="s">
        <v>114</v>
      </c>
      <c r="L66" s="21" t="s">
        <v>127</v>
      </c>
    </row>
    <row r="67" spans="1:13" x14ac:dyDescent="0.25">
      <c r="A67" t="s">
        <v>109</v>
      </c>
      <c r="B67" t="s">
        <v>108</v>
      </c>
      <c r="C67">
        <v>901.27</v>
      </c>
      <c r="F67" t="s">
        <v>19</v>
      </c>
      <c r="G67" t="s">
        <v>77</v>
      </c>
      <c r="H67">
        <v>33.483479729999999</v>
      </c>
      <c r="I67">
        <v>-117.67720353</v>
      </c>
      <c r="J67" t="s">
        <v>116</v>
      </c>
      <c r="K67" t="s">
        <v>114</v>
      </c>
      <c r="L67" s="21" t="s">
        <v>127</v>
      </c>
    </row>
    <row r="68" spans="1:13" x14ac:dyDescent="0.25">
      <c r="A68" t="s">
        <v>109</v>
      </c>
      <c r="B68" t="s">
        <v>108</v>
      </c>
      <c r="C68">
        <v>901.27</v>
      </c>
      <c r="F68" t="s">
        <v>19</v>
      </c>
      <c r="G68" t="s">
        <v>100</v>
      </c>
      <c r="H68">
        <v>33.484704100000002</v>
      </c>
      <c r="I68">
        <v>-117.675358</v>
      </c>
      <c r="J68" t="s">
        <v>107</v>
      </c>
      <c r="K68" t="s">
        <v>27</v>
      </c>
      <c r="L68" s="21" t="s">
        <v>127</v>
      </c>
    </row>
    <row r="69" spans="1:13" x14ac:dyDescent="0.25">
      <c r="A69" t="s">
        <v>109</v>
      </c>
      <c r="B69" t="s">
        <v>108</v>
      </c>
      <c r="C69">
        <v>901.27</v>
      </c>
      <c r="F69" t="s">
        <v>19</v>
      </c>
      <c r="G69" t="s">
        <v>100</v>
      </c>
      <c r="H69">
        <v>33.484704100000002</v>
      </c>
      <c r="I69">
        <v>-117.675358</v>
      </c>
      <c r="J69" t="s">
        <v>115</v>
      </c>
      <c r="K69" t="s">
        <v>27</v>
      </c>
      <c r="L69" s="21" t="s">
        <v>127</v>
      </c>
    </row>
    <row r="70" spans="1:13" x14ac:dyDescent="0.25">
      <c r="A70" t="s">
        <v>109</v>
      </c>
      <c r="B70" t="s">
        <v>108</v>
      </c>
      <c r="C70">
        <v>901.27</v>
      </c>
      <c r="F70" t="s">
        <v>19</v>
      </c>
      <c r="G70" t="s">
        <v>100</v>
      </c>
      <c r="H70">
        <v>33.484704100000002</v>
      </c>
      <c r="I70">
        <v>-117.675358</v>
      </c>
      <c r="J70" t="s">
        <v>116</v>
      </c>
      <c r="K70" t="s">
        <v>27</v>
      </c>
      <c r="L70" s="21" t="s">
        <v>127</v>
      </c>
    </row>
    <row r="71" spans="1:13" x14ac:dyDescent="0.25">
      <c r="A71" t="s">
        <v>110</v>
      </c>
      <c r="B71" t="s">
        <v>108</v>
      </c>
      <c r="C71">
        <v>901.27</v>
      </c>
      <c r="D71" t="s">
        <v>135</v>
      </c>
      <c r="E71" t="s">
        <v>113</v>
      </c>
      <c r="F71" t="s">
        <v>19</v>
      </c>
      <c r="G71" t="s">
        <v>97</v>
      </c>
      <c r="H71">
        <v>33.474871479999997</v>
      </c>
      <c r="I71">
        <v>-117.67951556</v>
      </c>
      <c r="J71" t="s">
        <v>107</v>
      </c>
      <c r="K71" t="s">
        <v>114</v>
      </c>
      <c r="L71" s="21" t="s">
        <v>127</v>
      </c>
      <c r="M71" t="s">
        <v>135</v>
      </c>
    </row>
    <row r="72" spans="1:13" x14ac:dyDescent="0.25">
      <c r="A72" t="s">
        <v>110</v>
      </c>
      <c r="B72" t="s">
        <v>108</v>
      </c>
      <c r="C72">
        <v>901.27</v>
      </c>
      <c r="D72" t="s">
        <v>135</v>
      </c>
      <c r="E72" t="s">
        <v>113</v>
      </c>
      <c r="F72" t="s">
        <v>19</v>
      </c>
      <c r="G72" t="s">
        <v>97</v>
      </c>
      <c r="H72">
        <v>33.474871479999997</v>
      </c>
      <c r="I72">
        <v>-117.67951556</v>
      </c>
      <c r="J72" t="s">
        <v>115</v>
      </c>
      <c r="K72" t="s">
        <v>114</v>
      </c>
      <c r="L72" s="21" t="s">
        <v>127</v>
      </c>
      <c r="M72" t="s">
        <v>135</v>
      </c>
    </row>
    <row r="73" spans="1:13" x14ac:dyDescent="0.25">
      <c r="A73" t="s">
        <v>110</v>
      </c>
      <c r="B73" t="s">
        <v>108</v>
      </c>
      <c r="C73">
        <v>901.27</v>
      </c>
      <c r="D73" t="s">
        <v>135</v>
      </c>
      <c r="E73" t="s">
        <v>113</v>
      </c>
      <c r="F73" t="s">
        <v>19</v>
      </c>
      <c r="G73" t="s">
        <v>97</v>
      </c>
      <c r="H73">
        <v>33.474871479999997</v>
      </c>
      <c r="I73">
        <v>-117.67951556</v>
      </c>
      <c r="J73" t="s">
        <v>116</v>
      </c>
      <c r="K73" t="s">
        <v>114</v>
      </c>
      <c r="L73" s="21" t="s">
        <v>127</v>
      </c>
      <c r="M73" t="s">
        <v>135</v>
      </c>
    </row>
    <row r="74" spans="1:13" x14ac:dyDescent="0.25">
      <c r="A74" t="s">
        <v>110</v>
      </c>
      <c r="B74" t="s">
        <v>108</v>
      </c>
      <c r="C74">
        <v>901.27</v>
      </c>
      <c r="D74" t="s">
        <v>135</v>
      </c>
      <c r="E74" t="s">
        <v>113</v>
      </c>
      <c r="F74" t="s">
        <v>19</v>
      </c>
      <c r="G74" t="s">
        <v>72</v>
      </c>
      <c r="H74">
        <v>33.475229550000002</v>
      </c>
      <c r="I74">
        <v>-117.67881868000001</v>
      </c>
      <c r="J74" t="s">
        <v>107</v>
      </c>
      <c r="K74" t="s">
        <v>114</v>
      </c>
      <c r="L74" s="21" t="s">
        <v>127</v>
      </c>
      <c r="M74" t="s">
        <v>135</v>
      </c>
    </row>
    <row r="75" spans="1:13" x14ac:dyDescent="0.25">
      <c r="A75" t="s">
        <v>110</v>
      </c>
      <c r="B75" t="s">
        <v>108</v>
      </c>
      <c r="C75">
        <v>901.27</v>
      </c>
      <c r="D75" t="s">
        <v>135</v>
      </c>
      <c r="E75" t="s">
        <v>113</v>
      </c>
      <c r="F75" t="s">
        <v>19</v>
      </c>
      <c r="G75" t="s">
        <v>72</v>
      </c>
      <c r="H75">
        <v>33.475229550000002</v>
      </c>
      <c r="I75">
        <v>-117.67881868000001</v>
      </c>
      <c r="J75" t="s">
        <v>115</v>
      </c>
      <c r="K75" t="s">
        <v>114</v>
      </c>
      <c r="L75" s="21" t="s">
        <v>127</v>
      </c>
      <c r="M75" t="s">
        <v>135</v>
      </c>
    </row>
    <row r="76" spans="1:13" x14ac:dyDescent="0.25">
      <c r="A76" t="s">
        <v>110</v>
      </c>
      <c r="B76" t="s">
        <v>108</v>
      </c>
      <c r="C76">
        <v>901.27</v>
      </c>
      <c r="D76" t="s">
        <v>135</v>
      </c>
      <c r="E76" t="s">
        <v>113</v>
      </c>
      <c r="F76" t="s">
        <v>19</v>
      </c>
      <c r="G76" t="s">
        <v>72</v>
      </c>
      <c r="H76">
        <v>33.475229550000002</v>
      </c>
      <c r="I76">
        <v>-117.67881868000001</v>
      </c>
      <c r="J76" t="s">
        <v>116</v>
      </c>
      <c r="K76" t="s">
        <v>114</v>
      </c>
      <c r="L76" s="21" t="s">
        <v>127</v>
      </c>
      <c r="M76" t="s">
        <v>135</v>
      </c>
    </row>
    <row r="77" spans="1:13" x14ac:dyDescent="0.25">
      <c r="A77" t="s">
        <v>110</v>
      </c>
      <c r="B77" t="s">
        <v>108</v>
      </c>
      <c r="C77">
        <v>901.27</v>
      </c>
      <c r="D77" t="s">
        <v>135</v>
      </c>
      <c r="E77" t="s">
        <v>25</v>
      </c>
      <c r="F77" t="s">
        <v>19</v>
      </c>
      <c r="G77" t="s">
        <v>98</v>
      </c>
      <c r="H77">
        <v>33.475823929999997</v>
      </c>
      <c r="I77">
        <v>-117.67931964</v>
      </c>
      <c r="J77" t="s">
        <v>107</v>
      </c>
      <c r="K77" t="s">
        <v>27</v>
      </c>
      <c r="L77" s="21" t="s">
        <v>127</v>
      </c>
      <c r="M77" t="s">
        <v>135</v>
      </c>
    </row>
    <row r="78" spans="1:13" x14ac:dyDescent="0.25">
      <c r="A78" t="s">
        <v>110</v>
      </c>
      <c r="B78" t="s">
        <v>108</v>
      </c>
      <c r="C78">
        <v>901.27</v>
      </c>
      <c r="D78" t="s">
        <v>135</v>
      </c>
      <c r="E78" t="s">
        <v>25</v>
      </c>
      <c r="F78" t="s">
        <v>19</v>
      </c>
      <c r="G78" t="s">
        <v>98</v>
      </c>
      <c r="H78">
        <v>33.475823929999997</v>
      </c>
      <c r="I78">
        <v>-117.67931964</v>
      </c>
      <c r="J78" t="s">
        <v>115</v>
      </c>
      <c r="K78" t="s">
        <v>27</v>
      </c>
      <c r="L78" s="21" t="s">
        <v>127</v>
      </c>
      <c r="M78" t="s">
        <v>135</v>
      </c>
    </row>
    <row r="79" spans="1:13" x14ac:dyDescent="0.25">
      <c r="A79" t="s">
        <v>110</v>
      </c>
      <c r="B79" t="s">
        <v>108</v>
      </c>
      <c r="C79">
        <v>901.27</v>
      </c>
      <c r="D79" t="s">
        <v>135</v>
      </c>
      <c r="E79" t="s">
        <v>25</v>
      </c>
      <c r="F79" t="s">
        <v>19</v>
      </c>
      <c r="G79" t="s">
        <v>98</v>
      </c>
      <c r="H79">
        <v>33.475823929999997</v>
      </c>
      <c r="I79">
        <v>-117.67931964</v>
      </c>
      <c r="J79" t="s">
        <v>116</v>
      </c>
      <c r="K79" t="s">
        <v>114</v>
      </c>
      <c r="L79" s="21" t="s">
        <v>127</v>
      </c>
      <c r="M79" t="s">
        <v>135</v>
      </c>
    </row>
    <row r="80" spans="1:13" x14ac:dyDescent="0.25">
      <c r="A80" t="s">
        <v>110</v>
      </c>
      <c r="B80" t="s">
        <v>108</v>
      </c>
      <c r="C80">
        <v>901.27</v>
      </c>
      <c r="D80" t="s">
        <v>135</v>
      </c>
      <c r="E80" t="s">
        <v>113</v>
      </c>
      <c r="F80" t="s">
        <v>19</v>
      </c>
      <c r="G80" t="s">
        <v>69</v>
      </c>
      <c r="H80">
        <v>33.476197149999997</v>
      </c>
      <c r="I80">
        <v>-117.67924614</v>
      </c>
      <c r="J80" t="s">
        <v>107</v>
      </c>
      <c r="K80" t="s">
        <v>114</v>
      </c>
      <c r="L80" s="21" t="s">
        <v>127</v>
      </c>
      <c r="M80" t="s">
        <v>135</v>
      </c>
    </row>
    <row r="81" spans="1:13" x14ac:dyDescent="0.25">
      <c r="A81" t="s">
        <v>110</v>
      </c>
      <c r="B81" t="s">
        <v>108</v>
      </c>
      <c r="C81">
        <v>901.27</v>
      </c>
      <c r="D81" t="s">
        <v>135</v>
      </c>
      <c r="E81" t="s">
        <v>113</v>
      </c>
      <c r="F81" t="s">
        <v>19</v>
      </c>
      <c r="G81" t="s">
        <v>69</v>
      </c>
      <c r="H81">
        <v>33.476197149999997</v>
      </c>
      <c r="I81">
        <v>-117.67924614</v>
      </c>
      <c r="J81" t="s">
        <v>115</v>
      </c>
      <c r="K81" t="s">
        <v>114</v>
      </c>
      <c r="L81" s="21" t="s">
        <v>127</v>
      </c>
      <c r="M81" t="s">
        <v>135</v>
      </c>
    </row>
    <row r="82" spans="1:13" x14ac:dyDescent="0.25">
      <c r="A82" t="s">
        <v>110</v>
      </c>
      <c r="B82" t="s">
        <v>108</v>
      </c>
      <c r="C82">
        <v>901.27</v>
      </c>
      <c r="D82" t="s">
        <v>135</v>
      </c>
      <c r="E82" t="s">
        <v>113</v>
      </c>
      <c r="F82" t="s">
        <v>19</v>
      </c>
      <c r="G82" t="s">
        <v>69</v>
      </c>
      <c r="H82">
        <v>33.476197149999997</v>
      </c>
      <c r="I82">
        <v>-117.67924614</v>
      </c>
      <c r="J82" t="s">
        <v>116</v>
      </c>
      <c r="K82" t="s">
        <v>114</v>
      </c>
      <c r="L82" s="21" t="s">
        <v>127</v>
      </c>
      <c r="M82" t="s">
        <v>135</v>
      </c>
    </row>
    <row r="83" spans="1:13" x14ac:dyDescent="0.25">
      <c r="A83" t="s">
        <v>110</v>
      </c>
      <c r="B83" t="s">
        <v>108</v>
      </c>
      <c r="C83">
        <v>901.27</v>
      </c>
      <c r="F83" t="s">
        <v>19</v>
      </c>
      <c r="G83" t="s">
        <v>101</v>
      </c>
      <c r="H83">
        <v>33.476865840000002</v>
      </c>
      <c r="I83">
        <v>-117.67845403</v>
      </c>
      <c r="J83" t="s">
        <v>107</v>
      </c>
      <c r="K83" t="s">
        <v>114</v>
      </c>
      <c r="L83" s="21" t="s">
        <v>127</v>
      </c>
    </row>
    <row r="84" spans="1:13" x14ac:dyDescent="0.25">
      <c r="A84" t="s">
        <v>110</v>
      </c>
      <c r="B84" t="s">
        <v>108</v>
      </c>
      <c r="C84">
        <v>901.27</v>
      </c>
      <c r="F84" t="s">
        <v>19</v>
      </c>
      <c r="G84" t="s">
        <v>101</v>
      </c>
      <c r="H84">
        <v>33.476865840000002</v>
      </c>
      <c r="I84">
        <v>-117.67845403</v>
      </c>
      <c r="J84" t="s">
        <v>115</v>
      </c>
      <c r="K84" t="s">
        <v>114</v>
      </c>
      <c r="L84" s="21" t="s">
        <v>127</v>
      </c>
    </row>
    <row r="85" spans="1:13" x14ac:dyDescent="0.25">
      <c r="A85" t="s">
        <v>110</v>
      </c>
      <c r="B85" t="s">
        <v>108</v>
      </c>
      <c r="C85">
        <v>901.27</v>
      </c>
      <c r="F85" t="s">
        <v>19</v>
      </c>
      <c r="G85" t="s">
        <v>101</v>
      </c>
      <c r="H85">
        <v>33.476865840000002</v>
      </c>
      <c r="I85">
        <v>-117.67845403</v>
      </c>
      <c r="J85" t="s">
        <v>116</v>
      </c>
      <c r="K85" t="s">
        <v>26</v>
      </c>
      <c r="L85" s="21" t="s">
        <v>127</v>
      </c>
    </row>
    <row r="86" spans="1:13" x14ac:dyDescent="0.25">
      <c r="A86" t="s">
        <v>109</v>
      </c>
      <c r="B86" t="s">
        <v>108</v>
      </c>
      <c r="C86">
        <v>901.27</v>
      </c>
      <c r="F86" t="s">
        <v>19</v>
      </c>
      <c r="G86" t="s">
        <v>84</v>
      </c>
      <c r="H86">
        <v>33.478495350000003</v>
      </c>
      <c r="I86">
        <v>-117.67868366</v>
      </c>
      <c r="J86" t="s">
        <v>107</v>
      </c>
      <c r="K86" t="s">
        <v>26</v>
      </c>
      <c r="L86" s="21" t="s">
        <v>127</v>
      </c>
    </row>
    <row r="87" spans="1:13" x14ac:dyDescent="0.25">
      <c r="A87" t="s">
        <v>109</v>
      </c>
      <c r="B87" t="s">
        <v>108</v>
      </c>
      <c r="C87">
        <v>901.27</v>
      </c>
      <c r="F87" t="s">
        <v>19</v>
      </c>
      <c r="G87" t="s">
        <v>84</v>
      </c>
      <c r="H87">
        <v>33.478495350000003</v>
      </c>
      <c r="I87">
        <v>-117.67868366</v>
      </c>
      <c r="J87" t="s">
        <v>115</v>
      </c>
      <c r="K87" t="s">
        <v>27</v>
      </c>
      <c r="L87" s="21" t="s">
        <v>127</v>
      </c>
    </row>
    <row r="88" spans="1:13" x14ac:dyDescent="0.25">
      <c r="A88" t="s">
        <v>109</v>
      </c>
      <c r="B88" t="s">
        <v>108</v>
      </c>
      <c r="C88">
        <v>901.27</v>
      </c>
      <c r="F88" t="s">
        <v>19</v>
      </c>
      <c r="G88" t="s">
        <v>84</v>
      </c>
      <c r="H88">
        <v>33.478495350000003</v>
      </c>
      <c r="I88">
        <v>-117.67868366</v>
      </c>
      <c r="J88" t="s">
        <v>116</v>
      </c>
      <c r="K88" t="s">
        <v>21</v>
      </c>
      <c r="L88" s="21" t="s">
        <v>127</v>
      </c>
    </row>
    <row r="89" spans="1:13" x14ac:dyDescent="0.25">
      <c r="A89" t="s">
        <v>109</v>
      </c>
      <c r="B89" t="s">
        <v>108</v>
      </c>
      <c r="C89">
        <v>901.27</v>
      </c>
      <c r="F89" t="s">
        <v>19</v>
      </c>
      <c r="G89" t="s">
        <v>83</v>
      </c>
      <c r="H89">
        <v>33.47841897</v>
      </c>
      <c r="I89">
        <v>-117.67810532</v>
      </c>
      <c r="J89" t="s">
        <v>107</v>
      </c>
      <c r="K89" t="s">
        <v>114</v>
      </c>
      <c r="L89" s="21" t="s">
        <v>127</v>
      </c>
    </row>
    <row r="90" spans="1:13" x14ac:dyDescent="0.25">
      <c r="A90" t="s">
        <v>109</v>
      </c>
      <c r="B90" t="s">
        <v>108</v>
      </c>
      <c r="C90">
        <v>901.27</v>
      </c>
      <c r="F90" t="s">
        <v>19</v>
      </c>
      <c r="G90" t="s">
        <v>83</v>
      </c>
      <c r="H90">
        <v>33.47841897</v>
      </c>
      <c r="I90">
        <v>-117.67810532</v>
      </c>
      <c r="J90" t="s">
        <v>115</v>
      </c>
      <c r="K90" t="s">
        <v>114</v>
      </c>
      <c r="L90" s="21" t="s">
        <v>127</v>
      </c>
    </row>
    <row r="91" spans="1:13" x14ac:dyDescent="0.25">
      <c r="A91" t="s">
        <v>109</v>
      </c>
      <c r="B91" t="s">
        <v>108</v>
      </c>
      <c r="C91">
        <v>901.27</v>
      </c>
      <c r="F91" t="s">
        <v>19</v>
      </c>
      <c r="G91" t="s">
        <v>83</v>
      </c>
      <c r="H91">
        <v>33.47841897</v>
      </c>
      <c r="I91">
        <v>-117.67810532</v>
      </c>
      <c r="J91" t="s">
        <v>116</v>
      </c>
      <c r="K91" t="s">
        <v>114</v>
      </c>
      <c r="L91" s="21" t="s">
        <v>127</v>
      </c>
    </row>
    <row r="92" spans="1:13" x14ac:dyDescent="0.25">
      <c r="A92" t="s">
        <v>110</v>
      </c>
      <c r="B92" t="s">
        <v>108</v>
      </c>
      <c r="C92">
        <v>901.27</v>
      </c>
      <c r="D92" t="s">
        <v>135</v>
      </c>
      <c r="E92" t="s">
        <v>25</v>
      </c>
      <c r="F92" t="s">
        <v>19</v>
      </c>
      <c r="G92" t="s">
        <v>86</v>
      </c>
      <c r="H92">
        <v>33.471155029999998</v>
      </c>
      <c r="I92">
        <v>-117.68101162000001</v>
      </c>
      <c r="J92" t="s">
        <v>107</v>
      </c>
      <c r="K92" t="s">
        <v>26</v>
      </c>
      <c r="L92" s="21" t="s">
        <v>127</v>
      </c>
      <c r="M92" t="s">
        <v>135</v>
      </c>
    </row>
    <row r="93" spans="1:13" x14ac:dyDescent="0.25">
      <c r="A93" t="s">
        <v>110</v>
      </c>
      <c r="B93" t="s">
        <v>108</v>
      </c>
      <c r="C93">
        <v>901.27</v>
      </c>
      <c r="D93" t="s">
        <v>135</v>
      </c>
      <c r="E93" t="s">
        <v>113</v>
      </c>
      <c r="F93" t="s">
        <v>19</v>
      </c>
      <c r="G93" t="s">
        <v>86</v>
      </c>
      <c r="H93">
        <v>33.471155029999998</v>
      </c>
      <c r="I93">
        <v>-117.68101162000001</v>
      </c>
      <c r="J93" t="s">
        <v>115</v>
      </c>
      <c r="K93" t="s">
        <v>114</v>
      </c>
      <c r="L93" s="21" t="s">
        <v>127</v>
      </c>
      <c r="M93" t="s">
        <v>135</v>
      </c>
    </row>
    <row r="94" spans="1:13" x14ac:dyDescent="0.25">
      <c r="A94" t="s">
        <v>110</v>
      </c>
      <c r="B94" t="s">
        <v>108</v>
      </c>
      <c r="C94">
        <v>901.27</v>
      </c>
      <c r="D94" t="s">
        <v>135</v>
      </c>
      <c r="E94" t="s">
        <v>113</v>
      </c>
      <c r="F94" t="s">
        <v>19</v>
      </c>
      <c r="G94" t="s">
        <v>86</v>
      </c>
      <c r="H94">
        <v>33.471155029999998</v>
      </c>
      <c r="I94">
        <v>-117.68101162000001</v>
      </c>
      <c r="J94" t="s">
        <v>116</v>
      </c>
      <c r="K94" t="s">
        <v>114</v>
      </c>
      <c r="L94" s="21" t="s">
        <v>127</v>
      </c>
      <c r="M94" t="s">
        <v>135</v>
      </c>
    </row>
    <row r="95" spans="1:13" x14ac:dyDescent="0.25">
      <c r="A95" t="s">
        <v>110</v>
      </c>
      <c r="B95" t="s">
        <v>108</v>
      </c>
      <c r="C95">
        <v>901.27</v>
      </c>
      <c r="D95" t="s">
        <v>135</v>
      </c>
      <c r="E95" t="s">
        <v>113</v>
      </c>
      <c r="F95" t="s">
        <v>19</v>
      </c>
      <c r="G95" t="s">
        <v>71</v>
      </c>
      <c r="H95">
        <v>33.474193290000002</v>
      </c>
      <c r="I95">
        <v>-117.67973409</v>
      </c>
      <c r="J95" t="s">
        <v>107</v>
      </c>
      <c r="K95" t="s">
        <v>114</v>
      </c>
      <c r="L95" s="21" t="s">
        <v>127</v>
      </c>
      <c r="M95" t="s">
        <v>135</v>
      </c>
    </row>
    <row r="96" spans="1:13" x14ac:dyDescent="0.25">
      <c r="A96" t="s">
        <v>110</v>
      </c>
      <c r="B96" t="s">
        <v>108</v>
      </c>
      <c r="C96">
        <v>901.27</v>
      </c>
      <c r="D96" t="s">
        <v>135</v>
      </c>
      <c r="E96" t="s">
        <v>113</v>
      </c>
      <c r="F96" t="s">
        <v>19</v>
      </c>
      <c r="G96" t="s">
        <v>71</v>
      </c>
      <c r="H96">
        <v>33.474193290000002</v>
      </c>
      <c r="I96">
        <v>-117.67973409</v>
      </c>
      <c r="J96" t="s">
        <v>115</v>
      </c>
      <c r="K96" t="s">
        <v>114</v>
      </c>
      <c r="L96" s="21" t="s">
        <v>127</v>
      </c>
      <c r="M96" t="s">
        <v>135</v>
      </c>
    </row>
    <row r="97" spans="1:13" x14ac:dyDescent="0.25">
      <c r="A97" t="s">
        <v>110</v>
      </c>
      <c r="B97" t="s">
        <v>108</v>
      </c>
      <c r="C97">
        <v>901.27</v>
      </c>
      <c r="D97" t="s">
        <v>135</v>
      </c>
      <c r="E97" t="s">
        <v>113</v>
      </c>
      <c r="F97" t="s">
        <v>19</v>
      </c>
      <c r="G97" t="s">
        <v>71</v>
      </c>
      <c r="H97">
        <v>33.474193290000002</v>
      </c>
      <c r="I97">
        <v>-117.67973409</v>
      </c>
      <c r="J97" t="s">
        <v>116</v>
      </c>
      <c r="K97" t="s">
        <v>114</v>
      </c>
      <c r="L97" s="21" t="s">
        <v>127</v>
      </c>
      <c r="M97" t="s">
        <v>135</v>
      </c>
    </row>
    <row r="98" spans="1:13" x14ac:dyDescent="0.25">
      <c r="A98" t="s">
        <v>110</v>
      </c>
      <c r="B98" t="s">
        <v>108</v>
      </c>
      <c r="C98">
        <v>901.27</v>
      </c>
      <c r="D98" t="s">
        <v>135</v>
      </c>
      <c r="E98" t="s">
        <v>113</v>
      </c>
      <c r="F98" t="s">
        <v>19</v>
      </c>
      <c r="G98" t="s">
        <v>62</v>
      </c>
      <c r="H98">
        <v>33.471551140000003</v>
      </c>
      <c r="I98">
        <v>-117.68013750999999</v>
      </c>
      <c r="J98" t="s">
        <v>107</v>
      </c>
      <c r="K98" t="s">
        <v>114</v>
      </c>
      <c r="L98" s="21" t="s">
        <v>127</v>
      </c>
      <c r="M98" t="s">
        <v>135</v>
      </c>
    </row>
    <row r="99" spans="1:13" x14ac:dyDescent="0.25">
      <c r="A99" t="s">
        <v>110</v>
      </c>
      <c r="B99" t="s">
        <v>108</v>
      </c>
      <c r="C99">
        <v>901.27</v>
      </c>
      <c r="D99" t="s">
        <v>135</v>
      </c>
      <c r="E99" t="s">
        <v>113</v>
      </c>
      <c r="F99" t="s">
        <v>19</v>
      </c>
      <c r="G99" t="s">
        <v>62</v>
      </c>
      <c r="H99">
        <v>33.471551140000003</v>
      </c>
      <c r="I99">
        <v>-117.68013750999999</v>
      </c>
      <c r="J99" t="s">
        <v>115</v>
      </c>
      <c r="K99" t="s">
        <v>114</v>
      </c>
      <c r="L99" s="21" t="s">
        <v>127</v>
      </c>
      <c r="M99" t="s">
        <v>135</v>
      </c>
    </row>
    <row r="100" spans="1:13" x14ac:dyDescent="0.25">
      <c r="A100" t="s">
        <v>110</v>
      </c>
      <c r="B100" t="s">
        <v>108</v>
      </c>
      <c r="C100">
        <v>901.27</v>
      </c>
      <c r="D100" t="s">
        <v>135</v>
      </c>
      <c r="E100" t="s">
        <v>113</v>
      </c>
      <c r="F100" t="s">
        <v>19</v>
      </c>
      <c r="G100" t="s">
        <v>62</v>
      </c>
      <c r="H100">
        <v>33.471551140000003</v>
      </c>
      <c r="I100">
        <v>-117.68013750999999</v>
      </c>
      <c r="J100" t="s">
        <v>116</v>
      </c>
      <c r="K100" t="s">
        <v>114</v>
      </c>
      <c r="L100" s="21" t="s">
        <v>127</v>
      </c>
      <c r="M100" t="s">
        <v>135</v>
      </c>
    </row>
    <row r="101" spans="1:13" x14ac:dyDescent="0.25">
      <c r="A101" t="s">
        <v>109</v>
      </c>
      <c r="B101" t="s">
        <v>108</v>
      </c>
      <c r="C101">
        <v>901.27</v>
      </c>
      <c r="F101" t="s">
        <v>19</v>
      </c>
      <c r="G101" t="s">
        <v>92</v>
      </c>
      <c r="H101">
        <v>33.508904200000003</v>
      </c>
      <c r="I101">
        <v>-117.63450607999999</v>
      </c>
      <c r="J101" t="s">
        <v>107</v>
      </c>
      <c r="K101" t="s">
        <v>27</v>
      </c>
      <c r="L101" s="21" t="s">
        <v>127</v>
      </c>
    </row>
    <row r="102" spans="1:13" x14ac:dyDescent="0.25">
      <c r="A102" t="s">
        <v>109</v>
      </c>
      <c r="B102" t="s">
        <v>108</v>
      </c>
      <c r="C102">
        <v>901.27</v>
      </c>
      <c r="F102" t="s">
        <v>19</v>
      </c>
      <c r="G102" t="s">
        <v>92</v>
      </c>
      <c r="H102">
        <v>33.508904200000003</v>
      </c>
      <c r="I102">
        <v>-117.63450607999999</v>
      </c>
      <c r="J102" t="s">
        <v>115</v>
      </c>
      <c r="K102" t="s">
        <v>27</v>
      </c>
      <c r="L102" s="21" t="s">
        <v>127</v>
      </c>
    </row>
    <row r="103" spans="1:13" x14ac:dyDescent="0.25">
      <c r="A103" t="s">
        <v>109</v>
      </c>
      <c r="B103" t="s">
        <v>108</v>
      </c>
      <c r="C103">
        <v>901.27</v>
      </c>
      <c r="F103" t="s">
        <v>19</v>
      </c>
      <c r="G103" t="s">
        <v>92</v>
      </c>
      <c r="H103">
        <v>33.508904200000003</v>
      </c>
      <c r="I103">
        <v>-117.63450607999999</v>
      </c>
      <c r="J103" t="s">
        <v>116</v>
      </c>
      <c r="K103" t="s">
        <v>27</v>
      </c>
      <c r="L103" s="21" t="s">
        <v>127</v>
      </c>
    </row>
    <row r="104" spans="1:13" x14ac:dyDescent="0.25">
      <c r="A104" t="s">
        <v>109</v>
      </c>
      <c r="B104" t="s">
        <v>108</v>
      </c>
      <c r="C104">
        <v>901.27</v>
      </c>
      <c r="F104" t="s">
        <v>19</v>
      </c>
      <c r="G104" t="s">
        <v>104</v>
      </c>
      <c r="H104">
        <v>33.510612350000002</v>
      </c>
      <c r="I104">
        <v>-117.63301176</v>
      </c>
      <c r="J104" t="s">
        <v>107</v>
      </c>
      <c r="K104" t="s">
        <v>27</v>
      </c>
      <c r="L104" s="21" t="s">
        <v>127</v>
      </c>
    </row>
    <row r="105" spans="1:13" x14ac:dyDescent="0.25">
      <c r="A105" t="s">
        <v>109</v>
      </c>
      <c r="B105" t="s">
        <v>108</v>
      </c>
      <c r="C105">
        <v>901.27</v>
      </c>
      <c r="F105" t="s">
        <v>19</v>
      </c>
      <c r="G105" t="s">
        <v>104</v>
      </c>
      <c r="H105">
        <v>33.510612350000002</v>
      </c>
      <c r="I105">
        <v>-117.63301176</v>
      </c>
      <c r="J105" t="s">
        <v>115</v>
      </c>
      <c r="K105" t="s">
        <v>27</v>
      </c>
      <c r="L105" s="21" t="s">
        <v>127</v>
      </c>
    </row>
    <row r="106" spans="1:13" x14ac:dyDescent="0.25">
      <c r="A106" t="s">
        <v>109</v>
      </c>
      <c r="B106" t="s">
        <v>108</v>
      </c>
      <c r="C106">
        <v>901.27</v>
      </c>
      <c r="F106" t="s">
        <v>19</v>
      </c>
      <c r="G106" t="s">
        <v>104</v>
      </c>
      <c r="H106">
        <v>33.510612350000002</v>
      </c>
      <c r="I106">
        <v>-117.63301176</v>
      </c>
      <c r="J106" t="s">
        <v>116</v>
      </c>
      <c r="K106" t="s">
        <v>27</v>
      </c>
      <c r="L106" s="21" t="s">
        <v>127</v>
      </c>
    </row>
    <row r="107" spans="1:13" x14ac:dyDescent="0.25">
      <c r="A107" t="s">
        <v>109</v>
      </c>
      <c r="B107" t="s">
        <v>108</v>
      </c>
      <c r="C107">
        <v>901.27</v>
      </c>
      <c r="F107" t="s">
        <v>19</v>
      </c>
      <c r="G107" t="s">
        <v>75</v>
      </c>
      <c r="H107">
        <v>33.504048470000001</v>
      </c>
      <c r="I107">
        <v>-117.64283211999999</v>
      </c>
      <c r="J107" t="s">
        <v>107</v>
      </c>
      <c r="K107" t="s">
        <v>114</v>
      </c>
      <c r="L107" s="21" t="s">
        <v>127</v>
      </c>
    </row>
    <row r="108" spans="1:13" x14ac:dyDescent="0.25">
      <c r="A108" t="s">
        <v>109</v>
      </c>
      <c r="B108" t="s">
        <v>108</v>
      </c>
      <c r="C108">
        <v>901.27</v>
      </c>
      <c r="F108" t="s">
        <v>19</v>
      </c>
      <c r="G108" t="s">
        <v>75</v>
      </c>
      <c r="H108">
        <v>33.504048470000001</v>
      </c>
      <c r="I108">
        <v>-117.64283211999999</v>
      </c>
      <c r="J108" t="s">
        <v>115</v>
      </c>
      <c r="K108" t="s">
        <v>114</v>
      </c>
      <c r="L108" s="21" t="s">
        <v>127</v>
      </c>
    </row>
    <row r="109" spans="1:13" x14ac:dyDescent="0.25">
      <c r="A109" t="s">
        <v>109</v>
      </c>
      <c r="B109" t="s">
        <v>108</v>
      </c>
      <c r="C109">
        <v>901.27</v>
      </c>
      <c r="F109" t="s">
        <v>19</v>
      </c>
      <c r="G109" t="s">
        <v>75</v>
      </c>
      <c r="H109">
        <v>33.504048470000001</v>
      </c>
      <c r="I109">
        <v>-117.64283211999999</v>
      </c>
      <c r="J109" t="s">
        <v>116</v>
      </c>
      <c r="K109" t="s">
        <v>27</v>
      </c>
      <c r="L109" s="21" t="s">
        <v>127</v>
      </c>
    </row>
    <row r="110" spans="1:13" x14ac:dyDescent="0.25">
      <c r="A110" t="s">
        <v>109</v>
      </c>
      <c r="B110" t="s">
        <v>108</v>
      </c>
      <c r="C110">
        <v>901.27</v>
      </c>
      <c r="F110" t="s">
        <v>19</v>
      </c>
      <c r="G110" t="s">
        <v>66</v>
      </c>
      <c r="H110">
        <v>33.504060109999998</v>
      </c>
      <c r="I110">
        <v>-117.64281522</v>
      </c>
      <c r="J110" t="s">
        <v>107</v>
      </c>
      <c r="K110" t="s">
        <v>27</v>
      </c>
      <c r="L110" s="21" t="s">
        <v>127</v>
      </c>
    </row>
    <row r="111" spans="1:13" x14ac:dyDescent="0.25">
      <c r="A111" t="s">
        <v>109</v>
      </c>
      <c r="B111" t="s">
        <v>108</v>
      </c>
      <c r="C111">
        <v>901.27</v>
      </c>
      <c r="F111" t="s">
        <v>19</v>
      </c>
      <c r="G111" t="s">
        <v>66</v>
      </c>
      <c r="H111">
        <v>33.504060109999998</v>
      </c>
      <c r="I111">
        <v>-117.64281522</v>
      </c>
      <c r="J111" t="s">
        <v>115</v>
      </c>
      <c r="K111" t="s">
        <v>27</v>
      </c>
      <c r="L111" s="21" t="s">
        <v>127</v>
      </c>
    </row>
    <row r="112" spans="1:13" x14ac:dyDescent="0.25">
      <c r="A112" t="s">
        <v>109</v>
      </c>
      <c r="B112" t="s">
        <v>108</v>
      </c>
      <c r="C112">
        <v>901.27</v>
      </c>
      <c r="F112" t="s">
        <v>19</v>
      </c>
      <c r="G112" t="s">
        <v>66</v>
      </c>
      <c r="H112">
        <v>33.504060109999998</v>
      </c>
      <c r="I112">
        <v>-117.64281522</v>
      </c>
      <c r="J112" t="s">
        <v>116</v>
      </c>
      <c r="K112" t="s">
        <v>26</v>
      </c>
      <c r="L112" s="21" t="s">
        <v>127</v>
      </c>
    </row>
    <row r="113" spans="1:12" x14ac:dyDescent="0.25">
      <c r="A113" t="s">
        <v>109</v>
      </c>
      <c r="B113" t="s">
        <v>108</v>
      </c>
      <c r="C113">
        <v>901.27</v>
      </c>
      <c r="F113" t="s">
        <v>19</v>
      </c>
      <c r="G113" t="s">
        <v>60</v>
      </c>
      <c r="H113">
        <v>33.507660379999997</v>
      </c>
      <c r="I113">
        <v>-117.64028598</v>
      </c>
      <c r="J113" t="s">
        <v>107</v>
      </c>
      <c r="K113" t="s">
        <v>27</v>
      </c>
      <c r="L113" s="21" t="s">
        <v>127</v>
      </c>
    </row>
    <row r="114" spans="1:12" x14ac:dyDescent="0.25">
      <c r="A114" t="s">
        <v>109</v>
      </c>
      <c r="B114" t="s">
        <v>108</v>
      </c>
      <c r="C114">
        <v>901.27</v>
      </c>
      <c r="F114" t="s">
        <v>19</v>
      </c>
      <c r="G114" t="s">
        <v>60</v>
      </c>
      <c r="H114">
        <v>33.507660379999997</v>
      </c>
      <c r="I114">
        <v>-117.64028598</v>
      </c>
      <c r="J114" t="s">
        <v>115</v>
      </c>
      <c r="K114" t="s">
        <v>27</v>
      </c>
      <c r="L114" s="21" t="s">
        <v>127</v>
      </c>
    </row>
    <row r="115" spans="1:12" x14ac:dyDescent="0.25">
      <c r="A115" t="s">
        <v>109</v>
      </c>
      <c r="B115" t="s">
        <v>108</v>
      </c>
      <c r="C115">
        <v>901.27</v>
      </c>
      <c r="F115" t="s">
        <v>19</v>
      </c>
      <c r="G115" t="s">
        <v>60</v>
      </c>
      <c r="H115">
        <v>33.507660379999997</v>
      </c>
      <c r="I115">
        <v>-117.64028598</v>
      </c>
      <c r="J115" t="s">
        <v>116</v>
      </c>
      <c r="K115" t="s">
        <v>27</v>
      </c>
      <c r="L115" s="21" t="s">
        <v>127</v>
      </c>
    </row>
    <row r="116" spans="1:12" x14ac:dyDescent="0.25">
      <c r="A116" t="s">
        <v>109</v>
      </c>
      <c r="B116" t="s">
        <v>108</v>
      </c>
      <c r="C116">
        <v>901.27</v>
      </c>
      <c r="F116" t="s">
        <v>19</v>
      </c>
      <c r="G116" t="s">
        <v>63</v>
      </c>
      <c r="H116">
        <v>33.508196509999998</v>
      </c>
      <c r="I116">
        <v>-117.6389212</v>
      </c>
      <c r="J116" t="s">
        <v>107</v>
      </c>
      <c r="K116" t="s">
        <v>26</v>
      </c>
      <c r="L116" s="21" t="s">
        <v>127</v>
      </c>
    </row>
    <row r="117" spans="1:12" x14ac:dyDescent="0.25">
      <c r="A117" t="s">
        <v>109</v>
      </c>
      <c r="B117" t="s">
        <v>108</v>
      </c>
      <c r="C117">
        <v>901.27</v>
      </c>
      <c r="F117" t="s">
        <v>19</v>
      </c>
      <c r="G117" t="s">
        <v>63</v>
      </c>
      <c r="H117">
        <v>33.508196509999998</v>
      </c>
      <c r="I117">
        <v>-117.6389212</v>
      </c>
      <c r="J117" t="s">
        <v>115</v>
      </c>
      <c r="K117" t="s">
        <v>26</v>
      </c>
      <c r="L117" s="21" t="s">
        <v>127</v>
      </c>
    </row>
    <row r="118" spans="1:12" x14ac:dyDescent="0.25">
      <c r="A118" t="s">
        <v>109</v>
      </c>
      <c r="B118" t="s">
        <v>108</v>
      </c>
      <c r="C118">
        <v>901.27</v>
      </c>
      <c r="F118" t="s">
        <v>19</v>
      </c>
      <c r="G118" t="s">
        <v>63</v>
      </c>
      <c r="H118">
        <v>33.508196509999998</v>
      </c>
      <c r="I118">
        <v>-117.6389212</v>
      </c>
      <c r="J118" t="s">
        <v>116</v>
      </c>
      <c r="K118" t="s">
        <v>26</v>
      </c>
      <c r="L118" s="21" t="s">
        <v>127</v>
      </c>
    </row>
    <row r="119" spans="1:12" x14ac:dyDescent="0.25">
      <c r="A119" t="s">
        <v>109</v>
      </c>
      <c r="B119" t="s">
        <v>108</v>
      </c>
      <c r="C119">
        <v>901.27</v>
      </c>
      <c r="F119" t="s">
        <v>19</v>
      </c>
      <c r="G119" t="s">
        <v>73</v>
      </c>
      <c r="H119">
        <v>33.509183</v>
      </c>
      <c r="I119">
        <v>-117.636421</v>
      </c>
      <c r="J119" t="s">
        <v>107</v>
      </c>
      <c r="K119" t="s">
        <v>114</v>
      </c>
      <c r="L119" s="21" t="s">
        <v>127</v>
      </c>
    </row>
    <row r="120" spans="1:12" x14ac:dyDescent="0.25">
      <c r="A120" t="s">
        <v>109</v>
      </c>
      <c r="B120" t="s">
        <v>108</v>
      </c>
      <c r="C120">
        <v>901.27</v>
      </c>
      <c r="F120" t="s">
        <v>19</v>
      </c>
      <c r="G120" t="s">
        <v>73</v>
      </c>
      <c r="H120">
        <v>33.509183</v>
      </c>
      <c r="I120">
        <v>-117.636421</v>
      </c>
      <c r="J120" t="s">
        <v>115</v>
      </c>
      <c r="K120" t="s">
        <v>114</v>
      </c>
      <c r="L120" s="21" t="s">
        <v>127</v>
      </c>
    </row>
    <row r="121" spans="1:12" x14ac:dyDescent="0.25">
      <c r="A121" t="s">
        <v>109</v>
      </c>
      <c r="B121" t="s">
        <v>108</v>
      </c>
      <c r="C121">
        <v>901.27</v>
      </c>
      <c r="F121" t="s">
        <v>19</v>
      </c>
      <c r="G121" t="s">
        <v>73</v>
      </c>
      <c r="H121">
        <v>33.509183</v>
      </c>
      <c r="I121">
        <v>-117.636421</v>
      </c>
      <c r="J121" t="s">
        <v>116</v>
      </c>
      <c r="K121" t="s">
        <v>26</v>
      </c>
      <c r="L121" s="21" t="s">
        <v>127</v>
      </c>
    </row>
    <row r="122" spans="1:12" x14ac:dyDescent="0.25">
      <c r="A122" t="s">
        <v>109</v>
      </c>
      <c r="B122" t="s">
        <v>108</v>
      </c>
      <c r="C122">
        <v>901.27</v>
      </c>
      <c r="F122" t="s">
        <v>19</v>
      </c>
      <c r="G122" t="s">
        <v>91</v>
      </c>
      <c r="H122">
        <v>33.48591622</v>
      </c>
      <c r="I122">
        <v>-117.67215175</v>
      </c>
      <c r="J122" t="s">
        <v>107</v>
      </c>
      <c r="K122" t="s">
        <v>27</v>
      </c>
      <c r="L122" s="21" t="s">
        <v>127</v>
      </c>
    </row>
    <row r="123" spans="1:12" x14ac:dyDescent="0.25">
      <c r="A123" t="s">
        <v>109</v>
      </c>
      <c r="B123" t="s">
        <v>108</v>
      </c>
      <c r="C123">
        <v>901.27</v>
      </c>
      <c r="F123" t="s">
        <v>19</v>
      </c>
      <c r="G123" t="s">
        <v>91</v>
      </c>
      <c r="H123">
        <v>33.48591622</v>
      </c>
      <c r="I123">
        <v>-117.67215175</v>
      </c>
      <c r="J123" t="s">
        <v>115</v>
      </c>
      <c r="K123" t="s">
        <v>27</v>
      </c>
      <c r="L123" s="21" t="s">
        <v>127</v>
      </c>
    </row>
    <row r="124" spans="1:12" x14ac:dyDescent="0.25">
      <c r="A124" t="s">
        <v>109</v>
      </c>
      <c r="B124" t="s">
        <v>108</v>
      </c>
      <c r="C124">
        <v>901.27</v>
      </c>
      <c r="F124" t="s">
        <v>19</v>
      </c>
      <c r="G124" t="s">
        <v>91</v>
      </c>
      <c r="H124">
        <v>33.48591622</v>
      </c>
      <c r="I124">
        <v>-117.67215175</v>
      </c>
      <c r="J124" t="s">
        <v>116</v>
      </c>
      <c r="K124" t="s">
        <v>27</v>
      </c>
      <c r="L124" s="21" t="s">
        <v>127</v>
      </c>
    </row>
    <row r="125" spans="1:12" x14ac:dyDescent="0.25">
      <c r="A125" t="s">
        <v>109</v>
      </c>
      <c r="B125" t="s">
        <v>108</v>
      </c>
      <c r="C125">
        <v>901.27</v>
      </c>
      <c r="F125" t="s">
        <v>19</v>
      </c>
      <c r="G125" t="s">
        <v>95</v>
      </c>
      <c r="H125">
        <v>33.486010290000003</v>
      </c>
      <c r="I125">
        <v>-117.67028870999999</v>
      </c>
      <c r="J125" t="s">
        <v>107</v>
      </c>
      <c r="K125" t="s">
        <v>25</v>
      </c>
      <c r="L125" s="21" t="s">
        <v>127</v>
      </c>
    </row>
    <row r="126" spans="1:12" x14ac:dyDescent="0.25">
      <c r="A126" t="s">
        <v>109</v>
      </c>
      <c r="B126" t="s">
        <v>108</v>
      </c>
      <c r="C126">
        <v>901.27</v>
      </c>
      <c r="F126" t="s">
        <v>19</v>
      </c>
      <c r="G126" t="s">
        <v>95</v>
      </c>
      <c r="H126">
        <v>33.486010290000003</v>
      </c>
      <c r="I126">
        <v>-117.67028870999999</v>
      </c>
      <c r="J126" t="s">
        <v>115</v>
      </c>
      <c r="K126" t="s">
        <v>26</v>
      </c>
      <c r="L126" s="21" t="s">
        <v>127</v>
      </c>
    </row>
    <row r="127" spans="1:12" x14ac:dyDescent="0.25">
      <c r="A127" t="s">
        <v>109</v>
      </c>
      <c r="B127" t="s">
        <v>108</v>
      </c>
      <c r="C127">
        <v>901.27</v>
      </c>
      <c r="F127" t="s">
        <v>19</v>
      </c>
      <c r="G127" t="s">
        <v>95</v>
      </c>
      <c r="H127">
        <v>33.486010290000003</v>
      </c>
      <c r="I127">
        <v>-117.67028870999999</v>
      </c>
      <c r="J127" t="s">
        <v>116</v>
      </c>
      <c r="K127" t="s">
        <v>114</v>
      </c>
      <c r="L127" s="21" t="s">
        <v>127</v>
      </c>
    </row>
    <row r="128" spans="1:12" x14ac:dyDescent="0.25">
      <c r="A128" t="s">
        <v>109</v>
      </c>
      <c r="B128" t="s">
        <v>108</v>
      </c>
      <c r="C128">
        <v>901.27</v>
      </c>
      <c r="F128" t="s">
        <v>19</v>
      </c>
      <c r="G128" t="s">
        <v>94</v>
      </c>
      <c r="H128">
        <v>33.487743999999999</v>
      </c>
      <c r="I128">
        <v>-117.66758978</v>
      </c>
      <c r="J128" t="s">
        <v>107</v>
      </c>
      <c r="K128" t="s">
        <v>114</v>
      </c>
      <c r="L128" s="21" t="s">
        <v>127</v>
      </c>
    </row>
    <row r="129" spans="1:13" x14ac:dyDescent="0.25">
      <c r="A129" t="s">
        <v>109</v>
      </c>
      <c r="B129" t="s">
        <v>108</v>
      </c>
      <c r="C129">
        <v>901.27</v>
      </c>
      <c r="F129" t="s">
        <v>19</v>
      </c>
      <c r="G129" t="s">
        <v>94</v>
      </c>
      <c r="H129">
        <v>33.487743999999999</v>
      </c>
      <c r="I129">
        <v>-117.66758978</v>
      </c>
      <c r="J129" t="s">
        <v>115</v>
      </c>
      <c r="K129" t="s">
        <v>114</v>
      </c>
      <c r="L129" s="21" t="s">
        <v>127</v>
      </c>
    </row>
    <row r="130" spans="1:13" x14ac:dyDescent="0.25">
      <c r="A130" t="s">
        <v>109</v>
      </c>
      <c r="B130" t="s">
        <v>108</v>
      </c>
      <c r="C130">
        <v>901.27</v>
      </c>
      <c r="F130" t="s">
        <v>19</v>
      </c>
      <c r="G130" t="s">
        <v>94</v>
      </c>
      <c r="H130">
        <v>33.487743999999999</v>
      </c>
      <c r="I130">
        <v>-117.66758978</v>
      </c>
      <c r="J130" t="s">
        <v>116</v>
      </c>
      <c r="K130" t="s">
        <v>114</v>
      </c>
      <c r="L130" s="21" t="s">
        <v>127</v>
      </c>
    </row>
    <row r="131" spans="1:13" x14ac:dyDescent="0.25">
      <c r="A131" t="s">
        <v>109</v>
      </c>
      <c r="B131" t="s">
        <v>108</v>
      </c>
      <c r="C131">
        <v>901.27</v>
      </c>
      <c r="F131" t="s">
        <v>19</v>
      </c>
      <c r="G131" t="s">
        <v>96</v>
      </c>
      <c r="H131">
        <v>33.487542740000002</v>
      </c>
      <c r="I131">
        <v>-117.66679526999999</v>
      </c>
      <c r="J131" t="s">
        <v>107</v>
      </c>
      <c r="K131" t="s">
        <v>114</v>
      </c>
      <c r="L131" s="21" t="s">
        <v>127</v>
      </c>
    </row>
    <row r="132" spans="1:13" x14ac:dyDescent="0.25">
      <c r="A132" t="s">
        <v>109</v>
      </c>
      <c r="B132" t="s">
        <v>108</v>
      </c>
      <c r="C132">
        <v>901.27</v>
      </c>
      <c r="F132" t="s">
        <v>19</v>
      </c>
      <c r="G132" t="s">
        <v>96</v>
      </c>
      <c r="H132">
        <v>33.487542740000002</v>
      </c>
      <c r="I132">
        <v>-117.66679526999999</v>
      </c>
      <c r="J132" t="s">
        <v>115</v>
      </c>
      <c r="K132" t="s">
        <v>114</v>
      </c>
      <c r="L132" s="21" t="s">
        <v>127</v>
      </c>
    </row>
    <row r="133" spans="1:13" x14ac:dyDescent="0.25">
      <c r="A133" t="s">
        <v>109</v>
      </c>
      <c r="B133" t="s">
        <v>108</v>
      </c>
      <c r="C133">
        <v>901.27</v>
      </c>
      <c r="F133" t="s">
        <v>19</v>
      </c>
      <c r="G133" t="s">
        <v>96</v>
      </c>
      <c r="H133">
        <v>33.487542740000002</v>
      </c>
      <c r="I133">
        <v>-117.66679526999999</v>
      </c>
      <c r="J133" t="s">
        <v>116</v>
      </c>
      <c r="K133" t="s">
        <v>114</v>
      </c>
      <c r="L133" s="21" t="s">
        <v>127</v>
      </c>
    </row>
    <row r="134" spans="1:13" x14ac:dyDescent="0.25">
      <c r="A134" t="s">
        <v>109</v>
      </c>
      <c r="B134" t="s">
        <v>108</v>
      </c>
      <c r="C134">
        <v>901.27</v>
      </c>
      <c r="F134" t="s">
        <v>19</v>
      </c>
      <c r="G134" t="s">
        <v>99</v>
      </c>
      <c r="H134">
        <v>33.49229639</v>
      </c>
      <c r="I134">
        <v>-117.66318298</v>
      </c>
      <c r="J134" t="s">
        <v>107</v>
      </c>
      <c r="K134" t="s">
        <v>27</v>
      </c>
      <c r="L134" s="21" t="s">
        <v>127</v>
      </c>
    </row>
    <row r="135" spans="1:13" x14ac:dyDescent="0.25">
      <c r="A135" t="s">
        <v>109</v>
      </c>
      <c r="B135" t="s">
        <v>108</v>
      </c>
      <c r="C135">
        <v>901.27</v>
      </c>
      <c r="F135" t="s">
        <v>19</v>
      </c>
      <c r="G135" t="s">
        <v>99</v>
      </c>
      <c r="H135">
        <v>33.49229639</v>
      </c>
      <c r="I135">
        <v>-117.66318298</v>
      </c>
      <c r="J135" t="s">
        <v>115</v>
      </c>
      <c r="K135" t="s">
        <v>26</v>
      </c>
      <c r="L135" s="21" t="s">
        <v>127</v>
      </c>
    </row>
    <row r="136" spans="1:13" x14ac:dyDescent="0.25">
      <c r="A136" t="s">
        <v>109</v>
      </c>
      <c r="B136" t="s">
        <v>108</v>
      </c>
      <c r="C136">
        <v>901.27</v>
      </c>
      <c r="F136" t="s">
        <v>19</v>
      </c>
      <c r="G136" t="s">
        <v>99</v>
      </c>
      <c r="H136">
        <v>33.49229639</v>
      </c>
      <c r="I136">
        <v>-117.66318298</v>
      </c>
      <c r="J136" t="s">
        <v>116</v>
      </c>
      <c r="K136" t="s">
        <v>114</v>
      </c>
      <c r="L136" s="21" t="s">
        <v>127</v>
      </c>
    </row>
    <row r="137" spans="1:13" x14ac:dyDescent="0.25">
      <c r="A137" t="s">
        <v>109</v>
      </c>
      <c r="B137" t="s">
        <v>108</v>
      </c>
      <c r="C137">
        <v>901.27</v>
      </c>
      <c r="F137" t="s">
        <v>19</v>
      </c>
      <c r="G137" t="s">
        <v>61</v>
      </c>
      <c r="H137">
        <v>33.49262805</v>
      </c>
      <c r="I137">
        <v>-117.66235245</v>
      </c>
      <c r="J137" t="s">
        <v>107</v>
      </c>
      <c r="K137" t="s">
        <v>114</v>
      </c>
      <c r="L137" s="21" t="s">
        <v>127</v>
      </c>
    </row>
    <row r="138" spans="1:13" x14ac:dyDescent="0.25">
      <c r="A138" t="s">
        <v>109</v>
      </c>
      <c r="B138" t="s">
        <v>108</v>
      </c>
      <c r="C138">
        <v>901.27</v>
      </c>
      <c r="F138" t="s">
        <v>19</v>
      </c>
      <c r="G138" t="s">
        <v>61</v>
      </c>
      <c r="H138">
        <v>33.49262805</v>
      </c>
      <c r="I138">
        <v>-117.66235245</v>
      </c>
      <c r="J138" t="s">
        <v>115</v>
      </c>
      <c r="K138" t="s">
        <v>114</v>
      </c>
      <c r="L138" s="21" t="s">
        <v>127</v>
      </c>
    </row>
    <row r="139" spans="1:13" x14ac:dyDescent="0.25">
      <c r="A139" t="s">
        <v>109</v>
      </c>
      <c r="B139" t="s">
        <v>108</v>
      </c>
      <c r="C139">
        <v>901.27</v>
      </c>
      <c r="F139" t="s">
        <v>19</v>
      </c>
      <c r="G139" t="s">
        <v>61</v>
      </c>
      <c r="H139">
        <v>33.49262805</v>
      </c>
      <c r="I139">
        <v>-117.66235245</v>
      </c>
      <c r="J139" t="s">
        <v>116</v>
      </c>
      <c r="K139" t="s">
        <v>114</v>
      </c>
      <c r="L139" s="21" t="s">
        <v>127</v>
      </c>
    </row>
    <row r="140" spans="1:13" x14ac:dyDescent="0.25">
      <c r="A140" t="s">
        <v>109</v>
      </c>
      <c r="B140" t="s">
        <v>108</v>
      </c>
      <c r="C140">
        <v>901.27</v>
      </c>
      <c r="F140" t="s">
        <v>19</v>
      </c>
      <c r="G140" t="s">
        <v>82</v>
      </c>
      <c r="H140">
        <v>33.496535000000002</v>
      </c>
      <c r="I140">
        <v>-117.655642</v>
      </c>
      <c r="J140" t="s">
        <v>107</v>
      </c>
      <c r="K140" t="s">
        <v>27</v>
      </c>
      <c r="L140" s="21" t="s">
        <v>127</v>
      </c>
    </row>
    <row r="141" spans="1:13" x14ac:dyDescent="0.25">
      <c r="A141" t="s">
        <v>109</v>
      </c>
      <c r="B141" t="s">
        <v>108</v>
      </c>
      <c r="C141">
        <v>901.27</v>
      </c>
      <c r="F141" t="s">
        <v>19</v>
      </c>
      <c r="G141" t="s">
        <v>82</v>
      </c>
      <c r="H141">
        <v>33.496535000000002</v>
      </c>
      <c r="I141">
        <v>-117.655642</v>
      </c>
      <c r="J141" t="s">
        <v>115</v>
      </c>
      <c r="K141" t="s">
        <v>27</v>
      </c>
      <c r="L141" s="21" t="s">
        <v>127</v>
      </c>
    </row>
    <row r="142" spans="1:13" x14ac:dyDescent="0.25">
      <c r="A142" t="s">
        <v>109</v>
      </c>
      <c r="B142" t="s">
        <v>108</v>
      </c>
      <c r="C142">
        <v>901.27</v>
      </c>
      <c r="F142" t="s">
        <v>19</v>
      </c>
      <c r="G142" t="s">
        <v>82</v>
      </c>
      <c r="H142">
        <v>33.496535000000002</v>
      </c>
      <c r="I142">
        <v>-117.655642</v>
      </c>
      <c r="J142" t="s">
        <v>116</v>
      </c>
      <c r="K142" t="s">
        <v>27</v>
      </c>
      <c r="L142" s="21" t="s">
        <v>127</v>
      </c>
    </row>
    <row r="143" spans="1:13" x14ac:dyDescent="0.25">
      <c r="A143" t="s">
        <v>110</v>
      </c>
      <c r="B143" t="s">
        <v>108</v>
      </c>
      <c r="C143">
        <v>901.27</v>
      </c>
      <c r="D143" t="s">
        <v>135</v>
      </c>
      <c r="E143" t="s">
        <v>25</v>
      </c>
      <c r="F143" t="s">
        <v>19</v>
      </c>
      <c r="G143" t="s">
        <v>128</v>
      </c>
      <c r="H143">
        <v>33.465522479999997</v>
      </c>
      <c r="I143">
        <v>-117.68214132</v>
      </c>
      <c r="J143" t="s">
        <v>107</v>
      </c>
      <c r="K143" t="s">
        <v>27</v>
      </c>
      <c r="L143" s="21" t="s">
        <v>127</v>
      </c>
      <c r="M143" t="s">
        <v>135</v>
      </c>
    </row>
    <row r="144" spans="1:13" x14ac:dyDescent="0.25">
      <c r="A144" t="s">
        <v>110</v>
      </c>
      <c r="B144" t="s">
        <v>108</v>
      </c>
      <c r="C144">
        <v>901.27</v>
      </c>
      <c r="D144" t="s">
        <v>135</v>
      </c>
      <c r="E144" t="s">
        <v>113</v>
      </c>
      <c r="F144" t="s">
        <v>19</v>
      </c>
      <c r="G144" t="s">
        <v>129</v>
      </c>
      <c r="H144">
        <v>33.466750480000002</v>
      </c>
      <c r="I144">
        <v>-117.68258983</v>
      </c>
      <c r="J144" t="s">
        <v>107</v>
      </c>
      <c r="K144" t="s">
        <v>26</v>
      </c>
      <c r="L144" s="21" t="s">
        <v>127</v>
      </c>
      <c r="M144" t="s">
        <v>135</v>
      </c>
    </row>
    <row r="145" spans="1:13" x14ac:dyDescent="0.25">
      <c r="A145" t="s">
        <v>110</v>
      </c>
      <c r="B145" t="s">
        <v>108</v>
      </c>
      <c r="C145">
        <v>901.27</v>
      </c>
      <c r="D145" t="s">
        <v>135</v>
      </c>
      <c r="E145" t="s">
        <v>113</v>
      </c>
      <c r="F145" t="s">
        <v>19</v>
      </c>
      <c r="G145" t="s">
        <v>130</v>
      </c>
      <c r="H145">
        <v>33.468224149999998</v>
      </c>
      <c r="I145">
        <v>-117.68222335999999</v>
      </c>
      <c r="J145" t="s">
        <v>107</v>
      </c>
      <c r="K145" t="s">
        <v>27</v>
      </c>
      <c r="L145" s="21" t="s">
        <v>127</v>
      </c>
      <c r="M145" t="s">
        <v>135</v>
      </c>
    </row>
    <row r="146" spans="1:13" x14ac:dyDescent="0.25">
      <c r="A146" t="s">
        <v>110</v>
      </c>
      <c r="B146" t="s">
        <v>108</v>
      </c>
      <c r="C146">
        <v>901.27</v>
      </c>
      <c r="D146" t="s">
        <v>135</v>
      </c>
      <c r="E146" t="s">
        <v>113</v>
      </c>
      <c r="F146" t="s">
        <v>19</v>
      </c>
      <c r="G146" t="s">
        <v>131</v>
      </c>
      <c r="H146">
        <v>33.469714869999997</v>
      </c>
      <c r="I146">
        <v>-117.68090029</v>
      </c>
      <c r="J146" t="s">
        <v>107</v>
      </c>
      <c r="K146" t="s">
        <v>114</v>
      </c>
      <c r="L146" s="21" t="s">
        <v>127</v>
      </c>
      <c r="M146" t="s">
        <v>135</v>
      </c>
    </row>
    <row r="147" spans="1:13" x14ac:dyDescent="0.25">
      <c r="A147" t="s">
        <v>110</v>
      </c>
      <c r="B147" t="s">
        <v>108</v>
      </c>
      <c r="C147">
        <v>901.27</v>
      </c>
      <c r="D147" t="s">
        <v>134</v>
      </c>
      <c r="E147" t="s">
        <v>113</v>
      </c>
      <c r="F147" t="s">
        <v>19</v>
      </c>
      <c r="G147" t="s">
        <v>132</v>
      </c>
      <c r="H147">
        <v>33.460667350000001</v>
      </c>
      <c r="I147">
        <v>-117.67738072</v>
      </c>
      <c r="J147" t="s">
        <v>107</v>
      </c>
      <c r="K147" t="s">
        <v>114</v>
      </c>
      <c r="L147" s="21" t="s">
        <v>127</v>
      </c>
      <c r="M147" t="s">
        <v>134</v>
      </c>
    </row>
    <row r="148" spans="1:13" x14ac:dyDescent="0.25">
      <c r="A148" t="s">
        <v>110</v>
      </c>
      <c r="B148" t="s">
        <v>108</v>
      </c>
      <c r="C148">
        <v>901.27</v>
      </c>
      <c r="D148" t="s">
        <v>135</v>
      </c>
      <c r="E148" t="s">
        <v>113</v>
      </c>
      <c r="F148" t="s">
        <v>19</v>
      </c>
      <c r="G148" t="s">
        <v>133</v>
      </c>
      <c r="H148">
        <v>33.470772650000001</v>
      </c>
      <c r="I148">
        <v>-117.68109711</v>
      </c>
      <c r="J148" t="s">
        <v>107</v>
      </c>
      <c r="K148" t="s">
        <v>114</v>
      </c>
      <c r="L148" s="21" t="s">
        <v>127</v>
      </c>
      <c r="M148" t="s">
        <v>135</v>
      </c>
    </row>
    <row r="149" spans="1:13" x14ac:dyDescent="0.25">
      <c r="A149" t="s">
        <v>110</v>
      </c>
      <c r="B149" t="s">
        <v>108</v>
      </c>
      <c r="C149">
        <v>901.27</v>
      </c>
      <c r="D149" t="s">
        <v>135</v>
      </c>
      <c r="E149" t="s">
        <v>113</v>
      </c>
      <c r="F149" t="s">
        <v>19</v>
      </c>
      <c r="G149" t="s">
        <v>128</v>
      </c>
      <c r="H149">
        <v>33.465522479999997</v>
      </c>
      <c r="I149">
        <v>-117.68214132</v>
      </c>
      <c r="J149" t="s">
        <v>115</v>
      </c>
      <c r="K149" t="s">
        <v>27</v>
      </c>
      <c r="L149" s="21" t="s">
        <v>127</v>
      </c>
      <c r="M149" t="s">
        <v>135</v>
      </c>
    </row>
    <row r="150" spans="1:13" x14ac:dyDescent="0.25">
      <c r="A150" t="s">
        <v>110</v>
      </c>
      <c r="B150" t="s">
        <v>108</v>
      </c>
      <c r="C150">
        <v>901.27</v>
      </c>
      <c r="D150" t="s">
        <v>135</v>
      </c>
      <c r="E150" t="s">
        <v>113</v>
      </c>
      <c r="F150" t="s">
        <v>19</v>
      </c>
      <c r="G150" t="s">
        <v>129</v>
      </c>
      <c r="H150">
        <v>33.466750480000002</v>
      </c>
      <c r="I150">
        <v>-117.68258983</v>
      </c>
      <c r="J150" t="s">
        <v>115</v>
      </c>
      <c r="K150" t="s">
        <v>114</v>
      </c>
      <c r="L150" s="21" t="s">
        <v>127</v>
      </c>
      <c r="M150" t="s">
        <v>135</v>
      </c>
    </row>
    <row r="151" spans="1:13" x14ac:dyDescent="0.25">
      <c r="A151" t="s">
        <v>110</v>
      </c>
      <c r="B151" t="s">
        <v>108</v>
      </c>
      <c r="C151">
        <v>901.27</v>
      </c>
      <c r="D151" t="s">
        <v>135</v>
      </c>
      <c r="E151" t="s">
        <v>113</v>
      </c>
      <c r="F151" t="s">
        <v>19</v>
      </c>
      <c r="G151" t="s">
        <v>130</v>
      </c>
      <c r="H151">
        <v>33.468224149999998</v>
      </c>
      <c r="I151">
        <v>-117.68222335999999</v>
      </c>
      <c r="J151" t="s">
        <v>115</v>
      </c>
      <c r="K151" t="s">
        <v>27</v>
      </c>
      <c r="L151" s="21" t="s">
        <v>127</v>
      </c>
      <c r="M151" t="s">
        <v>135</v>
      </c>
    </row>
    <row r="152" spans="1:13" x14ac:dyDescent="0.25">
      <c r="A152" t="s">
        <v>110</v>
      </c>
      <c r="B152" t="s">
        <v>108</v>
      </c>
      <c r="C152">
        <v>901.27</v>
      </c>
      <c r="D152" t="s">
        <v>135</v>
      </c>
      <c r="E152" t="s">
        <v>113</v>
      </c>
      <c r="F152" t="s">
        <v>19</v>
      </c>
      <c r="G152" t="s">
        <v>131</v>
      </c>
      <c r="H152">
        <v>33.469714869999997</v>
      </c>
      <c r="I152">
        <v>-117.68090029</v>
      </c>
      <c r="J152" t="s">
        <v>115</v>
      </c>
      <c r="K152" t="s">
        <v>114</v>
      </c>
      <c r="L152" s="21" t="s">
        <v>127</v>
      </c>
      <c r="M152" t="s">
        <v>135</v>
      </c>
    </row>
    <row r="153" spans="1:13" x14ac:dyDescent="0.25">
      <c r="A153" t="s">
        <v>110</v>
      </c>
      <c r="B153" t="s">
        <v>108</v>
      </c>
      <c r="C153">
        <v>901.27</v>
      </c>
      <c r="D153" t="s">
        <v>134</v>
      </c>
      <c r="E153" t="s">
        <v>113</v>
      </c>
      <c r="F153" t="s">
        <v>19</v>
      </c>
      <c r="G153" t="s">
        <v>132</v>
      </c>
      <c r="H153">
        <v>33.460667350000001</v>
      </c>
      <c r="I153">
        <v>-117.67738072</v>
      </c>
      <c r="J153" t="s">
        <v>115</v>
      </c>
      <c r="K153" t="s">
        <v>114</v>
      </c>
      <c r="L153" s="21" t="s">
        <v>127</v>
      </c>
      <c r="M153" t="s">
        <v>134</v>
      </c>
    </row>
    <row r="154" spans="1:13" x14ac:dyDescent="0.25">
      <c r="A154" t="s">
        <v>110</v>
      </c>
      <c r="B154" t="s">
        <v>108</v>
      </c>
      <c r="C154">
        <v>901.27</v>
      </c>
      <c r="D154" t="s">
        <v>135</v>
      </c>
      <c r="E154" t="s">
        <v>113</v>
      </c>
      <c r="F154" t="s">
        <v>19</v>
      </c>
      <c r="G154" t="s">
        <v>133</v>
      </c>
      <c r="H154">
        <v>33.470772650000001</v>
      </c>
      <c r="I154">
        <v>-117.68109711</v>
      </c>
      <c r="J154" t="s">
        <v>115</v>
      </c>
      <c r="K154" t="s">
        <v>114</v>
      </c>
      <c r="L154" s="21" t="s">
        <v>127</v>
      </c>
      <c r="M154" t="s">
        <v>135</v>
      </c>
    </row>
    <row r="155" spans="1:13" x14ac:dyDescent="0.25">
      <c r="A155" t="s">
        <v>110</v>
      </c>
      <c r="B155" t="s">
        <v>108</v>
      </c>
      <c r="C155">
        <v>901.27</v>
      </c>
      <c r="D155" t="s">
        <v>135</v>
      </c>
      <c r="E155" t="s">
        <v>25</v>
      </c>
      <c r="F155" t="s">
        <v>19</v>
      </c>
      <c r="G155" t="s">
        <v>128</v>
      </c>
      <c r="H155">
        <v>33.465522479999997</v>
      </c>
      <c r="I155">
        <v>-117.68214132</v>
      </c>
      <c r="J155" t="s">
        <v>116</v>
      </c>
      <c r="K155" t="s">
        <v>27</v>
      </c>
      <c r="L155" s="21" t="s">
        <v>127</v>
      </c>
      <c r="M155" t="s">
        <v>135</v>
      </c>
    </row>
    <row r="156" spans="1:13" x14ac:dyDescent="0.25">
      <c r="A156" t="s">
        <v>110</v>
      </c>
      <c r="B156" t="s">
        <v>108</v>
      </c>
      <c r="C156">
        <v>901.27</v>
      </c>
      <c r="D156" t="s">
        <v>135</v>
      </c>
      <c r="E156" t="s">
        <v>113</v>
      </c>
      <c r="F156" t="s">
        <v>19</v>
      </c>
      <c r="G156" t="s">
        <v>129</v>
      </c>
      <c r="H156">
        <v>33.466750480000002</v>
      </c>
      <c r="I156">
        <v>-117.68258983</v>
      </c>
      <c r="J156" t="s">
        <v>116</v>
      </c>
      <c r="K156" t="s">
        <v>114</v>
      </c>
      <c r="L156" s="21" t="s">
        <v>127</v>
      </c>
      <c r="M156" t="s">
        <v>135</v>
      </c>
    </row>
    <row r="157" spans="1:13" x14ac:dyDescent="0.25">
      <c r="A157" t="s">
        <v>110</v>
      </c>
      <c r="B157" t="s">
        <v>108</v>
      </c>
      <c r="C157">
        <v>901.27</v>
      </c>
      <c r="D157" t="s">
        <v>135</v>
      </c>
      <c r="E157" t="s">
        <v>113</v>
      </c>
      <c r="F157" t="s">
        <v>19</v>
      </c>
      <c r="G157" t="s">
        <v>130</v>
      </c>
      <c r="H157">
        <v>33.468224149999998</v>
      </c>
      <c r="I157">
        <v>-117.68222335999999</v>
      </c>
      <c r="J157" t="s">
        <v>116</v>
      </c>
      <c r="K157" t="s">
        <v>27</v>
      </c>
      <c r="L157" s="21" t="s">
        <v>127</v>
      </c>
      <c r="M157" t="s">
        <v>135</v>
      </c>
    </row>
    <row r="158" spans="1:13" x14ac:dyDescent="0.25">
      <c r="A158" t="s">
        <v>110</v>
      </c>
      <c r="B158" t="s">
        <v>108</v>
      </c>
      <c r="C158">
        <v>901.27</v>
      </c>
      <c r="D158" t="s">
        <v>135</v>
      </c>
      <c r="E158" t="s">
        <v>113</v>
      </c>
      <c r="F158" t="s">
        <v>19</v>
      </c>
      <c r="G158" t="s">
        <v>131</v>
      </c>
      <c r="H158">
        <v>33.469714869999997</v>
      </c>
      <c r="I158">
        <v>-117.68090029</v>
      </c>
      <c r="J158" t="s">
        <v>116</v>
      </c>
      <c r="K158" t="s">
        <v>114</v>
      </c>
      <c r="L158" s="21" t="s">
        <v>127</v>
      </c>
      <c r="M158" t="s">
        <v>135</v>
      </c>
    </row>
    <row r="159" spans="1:13" x14ac:dyDescent="0.25">
      <c r="A159" t="s">
        <v>110</v>
      </c>
      <c r="B159" t="s">
        <v>108</v>
      </c>
      <c r="C159">
        <v>901.27</v>
      </c>
      <c r="D159" t="s">
        <v>134</v>
      </c>
      <c r="E159" t="s">
        <v>113</v>
      </c>
      <c r="F159" t="s">
        <v>19</v>
      </c>
      <c r="G159" t="s">
        <v>132</v>
      </c>
      <c r="H159">
        <v>33.460667350000001</v>
      </c>
      <c r="I159">
        <v>-117.67738072</v>
      </c>
      <c r="J159" t="s">
        <v>116</v>
      </c>
      <c r="K159" t="s">
        <v>114</v>
      </c>
      <c r="L159" s="21" t="s">
        <v>127</v>
      </c>
      <c r="M159" t="s">
        <v>134</v>
      </c>
    </row>
    <row r="160" spans="1:13" x14ac:dyDescent="0.25">
      <c r="A160" t="s">
        <v>110</v>
      </c>
      <c r="B160" t="s">
        <v>108</v>
      </c>
      <c r="C160">
        <v>901.27</v>
      </c>
      <c r="D160" t="s">
        <v>135</v>
      </c>
      <c r="E160" t="s">
        <v>113</v>
      </c>
      <c r="F160" t="s">
        <v>19</v>
      </c>
      <c r="G160" t="s">
        <v>133</v>
      </c>
      <c r="H160">
        <v>33.470772650000001</v>
      </c>
      <c r="I160">
        <v>-117.68109711</v>
      </c>
      <c r="J160" t="s">
        <v>116</v>
      </c>
      <c r="K160" t="s">
        <v>114</v>
      </c>
      <c r="L160" s="21" t="s">
        <v>127</v>
      </c>
      <c r="M160" t="s">
        <v>135</v>
      </c>
    </row>
    <row r="161" spans="1:12" x14ac:dyDescent="0.25">
      <c r="A161" t="s">
        <v>136</v>
      </c>
      <c r="B161" t="s">
        <v>182</v>
      </c>
      <c r="C161">
        <v>901.13</v>
      </c>
      <c r="D161" t="s">
        <v>182</v>
      </c>
      <c r="F161" t="s">
        <v>19</v>
      </c>
      <c r="G161" t="s">
        <v>141</v>
      </c>
      <c r="H161">
        <v>33.634068409999998</v>
      </c>
      <c r="I161">
        <v>-117.6746996</v>
      </c>
      <c r="J161" t="s">
        <v>116</v>
      </c>
      <c r="K161" t="s">
        <v>26</v>
      </c>
      <c r="L161" s="21" t="s">
        <v>127</v>
      </c>
    </row>
    <row r="162" spans="1:12" x14ac:dyDescent="0.25">
      <c r="A162" t="s">
        <v>137</v>
      </c>
      <c r="B162" t="s">
        <v>182</v>
      </c>
      <c r="C162">
        <v>901.13</v>
      </c>
      <c r="D162" t="s">
        <v>182</v>
      </c>
      <c r="E162" t="s">
        <v>183</v>
      </c>
      <c r="F162" t="s">
        <v>19</v>
      </c>
      <c r="G162" t="s">
        <v>142</v>
      </c>
      <c r="H162">
        <v>33.61059435</v>
      </c>
      <c r="I162">
        <v>-117.69276829</v>
      </c>
      <c r="J162" t="s">
        <v>116</v>
      </c>
      <c r="K162" t="s">
        <v>27</v>
      </c>
      <c r="L162" s="21" t="s">
        <v>127</v>
      </c>
    </row>
    <row r="163" spans="1:12" x14ac:dyDescent="0.25">
      <c r="A163" t="s">
        <v>136</v>
      </c>
      <c r="B163" t="s">
        <v>182</v>
      </c>
      <c r="C163">
        <v>901.13</v>
      </c>
      <c r="D163" t="s">
        <v>182</v>
      </c>
      <c r="E163" s="24" t="s">
        <v>113</v>
      </c>
      <c r="F163" t="s">
        <v>19</v>
      </c>
      <c r="G163" t="s">
        <v>143</v>
      </c>
      <c r="H163">
        <v>33.628367539999999</v>
      </c>
      <c r="I163">
        <v>-117.68367057</v>
      </c>
      <c r="J163" t="s">
        <v>116</v>
      </c>
      <c r="K163" t="s">
        <v>27</v>
      </c>
      <c r="L163" s="21" t="s">
        <v>127</v>
      </c>
    </row>
    <row r="164" spans="1:12" x14ac:dyDescent="0.25">
      <c r="A164" t="s">
        <v>136</v>
      </c>
      <c r="B164" t="s">
        <v>182</v>
      </c>
      <c r="C164">
        <v>901.13</v>
      </c>
      <c r="D164" t="s">
        <v>182</v>
      </c>
      <c r="E164" s="24" t="s">
        <v>113</v>
      </c>
      <c r="F164" t="s">
        <v>19</v>
      </c>
      <c r="G164" t="s">
        <v>144</v>
      </c>
      <c r="H164">
        <v>33.624342470000002</v>
      </c>
      <c r="I164">
        <v>-117.68995504</v>
      </c>
      <c r="J164" t="s">
        <v>116</v>
      </c>
      <c r="K164" t="s">
        <v>27</v>
      </c>
      <c r="L164" s="21" t="s">
        <v>127</v>
      </c>
    </row>
    <row r="165" spans="1:12" x14ac:dyDescent="0.25">
      <c r="A165" t="s">
        <v>138</v>
      </c>
      <c r="B165" t="s">
        <v>182</v>
      </c>
      <c r="C165">
        <v>901.13</v>
      </c>
      <c r="D165" t="s">
        <v>182</v>
      </c>
      <c r="E165" t="s">
        <v>183</v>
      </c>
      <c r="F165" t="s">
        <v>19</v>
      </c>
      <c r="G165" t="s">
        <v>145</v>
      </c>
      <c r="H165">
        <v>33.573255940000003</v>
      </c>
      <c r="I165">
        <v>-117.71661229</v>
      </c>
      <c r="J165" t="s">
        <v>116</v>
      </c>
      <c r="K165" t="s">
        <v>27</v>
      </c>
      <c r="L165" s="21" t="s">
        <v>127</v>
      </c>
    </row>
    <row r="166" spans="1:12" x14ac:dyDescent="0.25">
      <c r="A166" t="s">
        <v>138</v>
      </c>
      <c r="B166" t="s">
        <v>182</v>
      </c>
      <c r="C166">
        <v>901.13</v>
      </c>
      <c r="D166" t="s">
        <v>182</v>
      </c>
      <c r="E166" t="s">
        <v>112</v>
      </c>
      <c r="F166" t="s">
        <v>19</v>
      </c>
      <c r="G166" t="s">
        <v>146</v>
      </c>
      <c r="H166">
        <v>33.581589100000002</v>
      </c>
      <c r="I166">
        <v>-117.74576012999999</v>
      </c>
      <c r="J166" t="s">
        <v>116</v>
      </c>
      <c r="K166" t="s">
        <v>27</v>
      </c>
      <c r="L166" s="21" t="s">
        <v>127</v>
      </c>
    </row>
    <row r="167" spans="1:12" x14ac:dyDescent="0.25">
      <c r="A167" t="s">
        <v>138</v>
      </c>
      <c r="B167" t="s">
        <v>182</v>
      </c>
      <c r="C167">
        <v>901.13</v>
      </c>
      <c r="D167" t="s">
        <v>182</v>
      </c>
      <c r="E167" s="24" t="s">
        <v>113</v>
      </c>
      <c r="F167" t="s">
        <v>19</v>
      </c>
      <c r="G167" t="s">
        <v>147</v>
      </c>
      <c r="H167">
        <v>33.581585230000002</v>
      </c>
      <c r="I167">
        <v>-117.74573687</v>
      </c>
      <c r="J167" t="s">
        <v>116</v>
      </c>
      <c r="K167" t="s">
        <v>114</v>
      </c>
      <c r="L167" s="21" t="s">
        <v>127</v>
      </c>
    </row>
    <row r="168" spans="1:12" x14ac:dyDescent="0.25">
      <c r="A168" t="s">
        <v>136</v>
      </c>
      <c r="B168" t="s">
        <v>182</v>
      </c>
      <c r="C168">
        <v>901.13</v>
      </c>
      <c r="D168" t="s">
        <v>182</v>
      </c>
      <c r="E168" s="24" t="s">
        <v>113</v>
      </c>
      <c r="F168" t="s">
        <v>19</v>
      </c>
      <c r="G168" t="s">
        <v>148</v>
      </c>
      <c r="H168">
        <v>33.649077869999999</v>
      </c>
      <c r="I168">
        <v>-117.66135278</v>
      </c>
      <c r="J168" t="s">
        <v>116</v>
      </c>
      <c r="K168" t="s">
        <v>26</v>
      </c>
      <c r="L168" s="21" t="s">
        <v>127</v>
      </c>
    </row>
    <row r="169" spans="1:12" x14ac:dyDescent="0.25">
      <c r="A169" t="s">
        <v>136</v>
      </c>
      <c r="B169" t="s">
        <v>182</v>
      </c>
      <c r="C169">
        <v>901.13</v>
      </c>
      <c r="D169" t="s">
        <v>182</v>
      </c>
      <c r="E169" s="24" t="s">
        <v>113</v>
      </c>
      <c r="F169" t="s">
        <v>19</v>
      </c>
      <c r="G169" t="s">
        <v>149</v>
      </c>
      <c r="H169">
        <v>33.656142559999999</v>
      </c>
      <c r="I169">
        <v>-117.65941801</v>
      </c>
      <c r="J169" t="s">
        <v>116</v>
      </c>
      <c r="K169" t="s">
        <v>27</v>
      </c>
      <c r="L169" s="21" t="s">
        <v>127</v>
      </c>
    </row>
    <row r="170" spans="1:12" x14ac:dyDescent="0.25">
      <c r="A170" t="s">
        <v>139</v>
      </c>
      <c r="B170" t="s">
        <v>182</v>
      </c>
      <c r="C170">
        <v>901.13</v>
      </c>
      <c r="D170" t="s">
        <v>182</v>
      </c>
      <c r="F170" t="s">
        <v>19</v>
      </c>
      <c r="G170" t="s">
        <v>150</v>
      </c>
      <c r="H170">
        <v>33.539911459999999</v>
      </c>
      <c r="I170">
        <v>-117.70417019</v>
      </c>
      <c r="J170" t="s">
        <v>116</v>
      </c>
      <c r="K170" t="s">
        <v>27</v>
      </c>
      <c r="L170" s="21" t="s">
        <v>127</v>
      </c>
    </row>
    <row r="171" spans="1:12" x14ac:dyDescent="0.25">
      <c r="A171" t="s">
        <v>138</v>
      </c>
      <c r="B171" t="s">
        <v>182</v>
      </c>
      <c r="C171">
        <v>901.13</v>
      </c>
      <c r="D171" t="s">
        <v>182</v>
      </c>
      <c r="E171" t="s">
        <v>112</v>
      </c>
      <c r="F171" t="s">
        <v>19</v>
      </c>
      <c r="G171" t="s">
        <v>151</v>
      </c>
      <c r="H171">
        <v>33.581570739999997</v>
      </c>
      <c r="I171">
        <v>-117.74572664</v>
      </c>
      <c r="J171" t="s">
        <v>116</v>
      </c>
      <c r="K171" t="s">
        <v>27</v>
      </c>
      <c r="L171" s="21" t="s">
        <v>127</v>
      </c>
    </row>
    <row r="172" spans="1:12" x14ac:dyDescent="0.25">
      <c r="A172" t="s">
        <v>136</v>
      </c>
      <c r="B172" t="s">
        <v>182</v>
      </c>
      <c r="C172">
        <v>901.13</v>
      </c>
      <c r="D172" t="s">
        <v>182</v>
      </c>
      <c r="E172" t="s">
        <v>183</v>
      </c>
      <c r="F172" t="s">
        <v>19</v>
      </c>
      <c r="G172" t="s">
        <v>152</v>
      </c>
      <c r="H172">
        <v>33.632756090000001</v>
      </c>
      <c r="I172">
        <v>-117.6769216</v>
      </c>
      <c r="J172" t="s">
        <v>116</v>
      </c>
      <c r="K172" t="s">
        <v>26</v>
      </c>
      <c r="L172" s="21" t="s">
        <v>127</v>
      </c>
    </row>
    <row r="173" spans="1:12" x14ac:dyDescent="0.25">
      <c r="A173" t="s">
        <v>136</v>
      </c>
      <c r="B173" t="s">
        <v>182</v>
      </c>
      <c r="C173">
        <v>901.13</v>
      </c>
      <c r="D173" t="s">
        <v>182</v>
      </c>
      <c r="E173" t="s">
        <v>183</v>
      </c>
      <c r="F173" t="s">
        <v>19</v>
      </c>
      <c r="G173" t="s">
        <v>153</v>
      </c>
      <c r="H173">
        <v>33.617161750000001</v>
      </c>
      <c r="I173">
        <v>-117.69366497999999</v>
      </c>
      <c r="J173" t="s">
        <v>116</v>
      </c>
      <c r="K173" t="s">
        <v>27</v>
      </c>
      <c r="L173" s="21" t="s">
        <v>127</v>
      </c>
    </row>
    <row r="174" spans="1:12" x14ac:dyDescent="0.25">
      <c r="A174" t="s">
        <v>136</v>
      </c>
      <c r="B174" t="s">
        <v>182</v>
      </c>
      <c r="C174">
        <v>901.13</v>
      </c>
      <c r="D174" t="s">
        <v>182</v>
      </c>
      <c r="E174" s="24" t="s">
        <v>113</v>
      </c>
      <c r="F174" t="s">
        <v>19</v>
      </c>
      <c r="G174" t="s">
        <v>154</v>
      </c>
      <c r="H174">
        <v>33.650866329999999</v>
      </c>
      <c r="I174">
        <v>-117.66064651000001</v>
      </c>
      <c r="J174" t="s">
        <v>116</v>
      </c>
      <c r="K174" t="s">
        <v>26</v>
      </c>
      <c r="L174" s="21" t="s">
        <v>127</v>
      </c>
    </row>
    <row r="175" spans="1:12" x14ac:dyDescent="0.25">
      <c r="A175" t="s">
        <v>139</v>
      </c>
      <c r="B175" t="s">
        <v>182</v>
      </c>
      <c r="C175">
        <v>901.13</v>
      </c>
      <c r="D175" t="s">
        <v>182</v>
      </c>
      <c r="F175" t="s">
        <v>19</v>
      </c>
      <c r="G175" t="s">
        <v>155</v>
      </c>
      <c r="H175">
        <v>33.546174399999998</v>
      </c>
      <c r="I175">
        <v>-117.70304417</v>
      </c>
      <c r="J175" t="s">
        <v>116</v>
      </c>
      <c r="K175" t="s">
        <v>27</v>
      </c>
      <c r="L175" s="21" t="s">
        <v>127</v>
      </c>
    </row>
    <row r="176" spans="1:12" x14ac:dyDescent="0.25">
      <c r="A176" t="s">
        <v>138</v>
      </c>
      <c r="B176" t="s">
        <v>182</v>
      </c>
      <c r="C176">
        <v>901.13</v>
      </c>
      <c r="D176" t="s">
        <v>182</v>
      </c>
      <c r="E176" t="s">
        <v>183</v>
      </c>
      <c r="F176" t="s">
        <v>19</v>
      </c>
      <c r="G176" t="s">
        <v>156</v>
      </c>
      <c r="H176">
        <v>33.576771720000004</v>
      </c>
      <c r="I176">
        <v>-117.71330931999999</v>
      </c>
      <c r="J176" t="s">
        <v>116</v>
      </c>
      <c r="K176" t="s">
        <v>27</v>
      </c>
      <c r="L176" s="21" t="s">
        <v>127</v>
      </c>
    </row>
    <row r="177" spans="1:12" x14ac:dyDescent="0.25">
      <c r="A177" t="s">
        <v>136</v>
      </c>
      <c r="B177" t="s">
        <v>182</v>
      </c>
      <c r="C177">
        <v>901.13</v>
      </c>
      <c r="D177" t="s">
        <v>182</v>
      </c>
      <c r="E177" t="s">
        <v>122</v>
      </c>
      <c r="F177" t="s">
        <v>19</v>
      </c>
      <c r="G177" t="s">
        <v>157</v>
      </c>
      <c r="H177">
        <v>33.66346514</v>
      </c>
      <c r="I177">
        <v>-117.65406845</v>
      </c>
      <c r="J177" t="s">
        <v>116</v>
      </c>
      <c r="K177" t="s">
        <v>27</v>
      </c>
      <c r="L177" s="21" t="s">
        <v>127</v>
      </c>
    </row>
    <row r="178" spans="1:12" x14ac:dyDescent="0.25">
      <c r="A178" t="s">
        <v>136</v>
      </c>
      <c r="B178" t="s">
        <v>182</v>
      </c>
      <c r="C178">
        <v>901.13</v>
      </c>
      <c r="D178" t="s">
        <v>182</v>
      </c>
      <c r="E178" t="s">
        <v>112</v>
      </c>
      <c r="F178" t="s">
        <v>19</v>
      </c>
      <c r="G178" t="s">
        <v>158</v>
      </c>
      <c r="H178">
        <v>33.672848090000002</v>
      </c>
      <c r="I178">
        <v>-117.63885049</v>
      </c>
      <c r="J178" t="s">
        <v>116</v>
      </c>
      <c r="K178" t="s">
        <v>27</v>
      </c>
      <c r="L178" s="21" t="s">
        <v>127</v>
      </c>
    </row>
    <row r="179" spans="1:12" x14ac:dyDescent="0.25">
      <c r="A179" t="s">
        <v>136</v>
      </c>
      <c r="B179" t="s">
        <v>182</v>
      </c>
      <c r="C179">
        <v>901.13</v>
      </c>
      <c r="D179" t="s">
        <v>182</v>
      </c>
      <c r="E179" s="24" t="s">
        <v>113</v>
      </c>
      <c r="F179" t="s">
        <v>19</v>
      </c>
      <c r="G179" t="s">
        <v>159</v>
      </c>
      <c r="H179">
        <v>33.671013539999997</v>
      </c>
      <c r="I179">
        <v>-117.62627934</v>
      </c>
      <c r="J179" t="s">
        <v>116</v>
      </c>
      <c r="K179" t="s">
        <v>27</v>
      </c>
      <c r="L179" s="21" t="s">
        <v>127</v>
      </c>
    </row>
    <row r="180" spans="1:12" x14ac:dyDescent="0.25">
      <c r="A180" t="s">
        <v>136</v>
      </c>
      <c r="B180" t="s">
        <v>182</v>
      </c>
      <c r="C180">
        <v>901.13</v>
      </c>
      <c r="D180" t="s">
        <v>182</v>
      </c>
      <c r="E180" t="s">
        <v>183</v>
      </c>
      <c r="F180" t="s">
        <v>19</v>
      </c>
      <c r="G180" t="s">
        <v>160</v>
      </c>
      <c r="H180">
        <v>33.678030999999997</v>
      </c>
      <c r="I180">
        <v>-117.623537</v>
      </c>
      <c r="J180" t="s">
        <v>116</v>
      </c>
      <c r="K180" t="s">
        <v>27</v>
      </c>
      <c r="L180" s="21" t="s">
        <v>127</v>
      </c>
    </row>
    <row r="181" spans="1:12" x14ac:dyDescent="0.25">
      <c r="A181" t="s">
        <v>139</v>
      </c>
      <c r="B181" t="s">
        <v>182</v>
      </c>
      <c r="C181">
        <v>901.13</v>
      </c>
      <c r="D181" t="s">
        <v>182</v>
      </c>
      <c r="E181" t="s">
        <v>183</v>
      </c>
      <c r="F181" t="s">
        <v>19</v>
      </c>
      <c r="G181" t="s">
        <v>161</v>
      </c>
      <c r="H181">
        <v>33.55761613</v>
      </c>
      <c r="I181">
        <v>-117.71767994</v>
      </c>
      <c r="J181" t="s">
        <v>116</v>
      </c>
      <c r="K181" t="s">
        <v>27</v>
      </c>
      <c r="L181" s="21" t="s">
        <v>127</v>
      </c>
    </row>
    <row r="182" spans="1:12" x14ac:dyDescent="0.25">
      <c r="A182" t="s">
        <v>136</v>
      </c>
      <c r="B182" t="s">
        <v>182</v>
      </c>
      <c r="C182">
        <v>901.13</v>
      </c>
      <c r="D182" t="s">
        <v>182</v>
      </c>
      <c r="E182" t="s">
        <v>183</v>
      </c>
      <c r="F182" t="s">
        <v>19</v>
      </c>
      <c r="G182" t="s">
        <v>162</v>
      </c>
      <c r="H182">
        <v>33.654533450000002</v>
      </c>
      <c r="I182">
        <v>-117.65979766</v>
      </c>
      <c r="J182" t="s">
        <v>116</v>
      </c>
      <c r="K182" t="s">
        <v>27</v>
      </c>
      <c r="L182" s="21" t="s">
        <v>127</v>
      </c>
    </row>
    <row r="183" spans="1:12" x14ac:dyDescent="0.25">
      <c r="A183" t="s">
        <v>138</v>
      </c>
      <c r="B183" t="s">
        <v>182</v>
      </c>
      <c r="C183">
        <v>901.13</v>
      </c>
      <c r="D183" t="s">
        <v>182</v>
      </c>
      <c r="E183" t="s">
        <v>112</v>
      </c>
      <c r="F183" t="s">
        <v>19</v>
      </c>
      <c r="G183" t="s">
        <v>163</v>
      </c>
      <c r="H183">
        <v>33.56256131</v>
      </c>
      <c r="I183">
        <v>-117.74339261999999</v>
      </c>
      <c r="J183" t="s">
        <v>116</v>
      </c>
      <c r="K183" t="s">
        <v>26</v>
      </c>
      <c r="L183" s="21" t="s">
        <v>127</v>
      </c>
    </row>
    <row r="184" spans="1:12" x14ac:dyDescent="0.25">
      <c r="A184" t="s">
        <v>138</v>
      </c>
      <c r="B184" t="s">
        <v>182</v>
      </c>
      <c r="C184">
        <v>901.13</v>
      </c>
      <c r="D184" t="s">
        <v>182</v>
      </c>
      <c r="E184" t="s">
        <v>183</v>
      </c>
      <c r="F184" t="s">
        <v>19</v>
      </c>
      <c r="G184" t="s">
        <v>164</v>
      </c>
      <c r="H184">
        <v>33.564566509999999</v>
      </c>
      <c r="I184">
        <v>-117.71845082999999</v>
      </c>
      <c r="J184" t="s">
        <v>116</v>
      </c>
      <c r="K184" t="s">
        <v>27</v>
      </c>
      <c r="L184" s="21" t="s">
        <v>127</v>
      </c>
    </row>
    <row r="185" spans="1:12" x14ac:dyDescent="0.25">
      <c r="A185" t="s">
        <v>138</v>
      </c>
      <c r="B185" t="s">
        <v>182</v>
      </c>
      <c r="C185">
        <v>901.13</v>
      </c>
      <c r="D185" t="s">
        <v>182</v>
      </c>
      <c r="E185" t="s">
        <v>112</v>
      </c>
      <c r="F185" t="s">
        <v>19</v>
      </c>
      <c r="G185" t="s">
        <v>165</v>
      </c>
      <c r="H185">
        <v>33.558645140000003</v>
      </c>
      <c r="I185">
        <v>-117.73782663999999</v>
      </c>
      <c r="J185" t="s">
        <v>116</v>
      </c>
      <c r="K185" t="s">
        <v>27</v>
      </c>
      <c r="L185" s="21" t="s">
        <v>127</v>
      </c>
    </row>
    <row r="186" spans="1:12" x14ac:dyDescent="0.25">
      <c r="A186" t="s">
        <v>139</v>
      </c>
      <c r="B186" t="s">
        <v>182</v>
      </c>
      <c r="C186">
        <v>901.13</v>
      </c>
      <c r="D186" t="s">
        <v>182</v>
      </c>
      <c r="E186" t="s">
        <v>183</v>
      </c>
      <c r="F186" t="s">
        <v>19</v>
      </c>
      <c r="G186" t="s">
        <v>166</v>
      </c>
      <c r="H186">
        <v>33.554893999999997</v>
      </c>
      <c r="I186">
        <v>-117.71895089</v>
      </c>
      <c r="J186" t="s">
        <v>116</v>
      </c>
      <c r="K186" t="s">
        <v>27</v>
      </c>
      <c r="L186" s="21" t="s">
        <v>127</v>
      </c>
    </row>
    <row r="187" spans="1:12" x14ac:dyDescent="0.25">
      <c r="A187" t="s">
        <v>138</v>
      </c>
      <c r="B187" t="s">
        <v>182</v>
      </c>
      <c r="C187">
        <v>901.13</v>
      </c>
      <c r="D187" t="s">
        <v>182</v>
      </c>
      <c r="E187" s="24" t="s">
        <v>113</v>
      </c>
      <c r="F187" t="s">
        <v>19</v>
      </c>
      <c r="G187" t="s">
        <v>167</v>
      </c>
      <c r="H187">
        <v>33.559105799999998</v>
      </c>
      <c r="I187">
        <v>-117.7186966</v>
      </c>
      <c r="J187" t="s">
        <v>116</v>
      </c>
      <c r="K187" t="s">
        <v>26</v>
      </c>
      <c r="L187" s="21" t="s">
        <v>127</v>
      </c>
    </row>
    <row r="188" spans="1:12" x14ac:dyDescent="0.25">
      <c r="A188" t="s">
        <v>111</v>
      </c>
      <c r="B188" t="s">
        <v>182</v>
      </c>
      <c r="C188">
        <v>901.13</v>
      </c>
      <c r="D188" t="s">
        <v>182</v>
      </c>
      <c r="E188" s="24" t="s">
        <v>113</v>
      </c>
      <c r="F188" t="s">
        <v>19</v>
      </c>
      <c r="G188" t="s">
        <v>168</v>
      </c>
      <c r="H188">
        <v>33.544339190000002</v>
      </c>
      <c r="I188">
        <v>-117.72724114</v>
      </c>
      <c r="J188" t="s">
        <v>116</v>
      </c>
      <c r="K188" t="s">
        <v>114</v>
      </c>
      <c r="L188" s="21" t="s">
        <v>127</v>
      </c>
    </row>
    <row r="189" spans="1:12" x14ac:dyDescent="0.25">
      <c r="A189" t="s">
        <v>111</v>
      </c>
      <c r="B189" t="s">
        <v>182</v>
      </c>
      <c r="C189">
        <v>901.13</v>
      </c>
      <c r="D189" t="s">
        <v>182</v>
      </c>
      <c r="E189" t="s">
        <v>183</v>
      </c>
      <c r="F189" t="s">
        <v>19</v>
      </c>
      <c r="G189" t="s">
        <v>169</v>
      </c>
      <c r="H189">
        <v>33.549854269999997</v>
      </c>
      <c r="I189">
        <v>-117.72129019</v>
      </c>
      <c r="J189" t="s">
        <v>116</v>
      </c>
      <c r="K189" t="s">
        <v>27</v>
      </c>
      <c r="L189" s="21" t="s">
        <v>127</v>
      </c>
    </row>
    <row r="190" spans="1:12" x14ac:dyDescent="0.25">
      <c r="A190" t="s">
        <v>137</v>
      </c>
      <c r="B190" t="s">
        <v>182</v>
      </c>
      <c r="C190">
        <v>901.13</v>
      </c>
      <c r="D190" t="s">
        <v>182</v>
      </c>
      <c r="E190" t="s">
        <v>183</v>
      </c>
      <c r="F190" t="s">
        <v>19</v>
      </c>
      <c r="G190" t="s">
        <v>170</v>
      </c>
      <c r="H190">
        <v>33.609340500000002</v>
      </c>
      <c r="I190">
        <v>-117.69288756</v>
      </c>
      <c r="J190" t="s">
        <v>116</v>
      </c>
      <c r="K190" t="s">
        <v>27</v>
      </c>
      <c r="L190" s="21" t="s">
        <v>127</v>
      </c>
    </row>
    <row r="191" spans="1:12" x14ac:dyDescent="0.25">
      <c r="A191" t="s">
        <v>138</v>
      </c>
      <c r="B191" t="s">
        <v>182</v>
      </c>
      <c r="C191">
        <v>901.13</v>
      </c>
      <c r="D191" t="s">
        <v>182</v>
      </c>
      <c r="E191" t="s">
        <v>183</v>
      </c>
      <c r="F191" t="s">
        <v>19</v>
      </c>
      <c r="G191" t="s">
        <v>171</v>
      </c>
      <c r="H191">
        <v>33.574713430000003</v>
      </c>
      <c r="I191">
        <v>-117.71586502</v>
      </c>
      <c r="J191" t="s">
        <v>116</v>
      </c>
      <c r="K191" t="s">
        <v>27</v>
      </c>
      <c r="L191" s="21" t="s">
        <v>127</v>
      </c>
    </row>
    <row r="192" spans="1:12" x14ac:dyDescent="0.25">
      <c r="A192" t="s">
        <v>136</v>
      </c>
      <c r="B192" t="s">
        <v>182</v>
      </c>
      <c r="C192">
        <v>901.13</v>
      </c>
      <c r="D192" t="s">
        <v>182</v>
      </c>
      <c r="E192" t="s">
        <v>183</v>
      </c>
      <c r="F192" t="s">
        <v>19</v>
      </c>
      <c r="G192" t="s">
        <v>172</v>
      </c>
      <c r="H192">
        <v>33.658091970000001</v>
      </c>
      <c r="I192">
        <v>-117.65776843</v>
      </c>
      <c r="J192" t="s">
        <v>116</v>
      </c>
      <c r="K192" t="s">
        <v>27</v>
      </c>
      <c r="L192" s="21" t="s">
        <v>127</v>
      </c>
    </row>
    <row r="193" spans="1:12" x14ac:dyDescent="0.25">
      <c r="A193" t="s">
        <v>138</v>
      </c>
      <c r="B193" t="s">
        <v>182</v>
      </c>
      <c r="C193">
        <v>901.13</v>
      </c>
      <c r="D193" t="s">
        <v>182</v>
      </c>
      <c r="E193" t="s">
        <v>183</v>
      </c>
      <c r="F193" t="s">
        <v>19</v>
      </c>
      <c r="G193" t="s">
        <v>173</v>
      </c>
      <c r="H193">
        <v>33.570908350000003</v>
      </c>
      <c r="I193">
        <v>-117.71707369000001</v>
      </c>
      <c r="J193" t="s">
        <v>116</v>
      </c>
      <c r="K193" t="s">
        <v>27</v>
      </c>
      <c r="L193" s="21" t="s">
        <v>127</v>
      </c>
    </row>
    <row r="194" spans="1:12" x14ac:dyDescent="0.25">
      <c r="A194" t="s">
        <v>139</v>
      </c>
      <c r="B194" t="s">
        <v>182</v>
      </c>
      <c r="C194">
        <v>901.13</v>
      </c>
      <c r="D194" t="s">
        <v>182</v>
      </c>
      <c r="E194" t="s">
        <v>112</v>
      </c>
      <c r="F194" t="s">
        <v>19</v>
      </c>
      <c r="G194" t="s">
        <v>174</v>
      </c>
      <c r="H194">
        <v>33.552638780000002</v>
      </c>
      <c r="I194">
        <v>-117.70882948000001</v>
      </c>
      <c r="J194" t="s">
        <v>116</v>
      </c>
      <c r="K194" t="s">
        <v>27</v>
      </c>
      <c r="L194" s="21" t="s">
        <v>127</v>
      </c>
    </row>
    <row r="195" spans="1:12" x14ac:dyDescent="0.25">
      <c r="A195" t="s">
        <v>136</v>
      </c>
      <c r="B195" t="s">
        <v>182</v>
      </c>
      <c r="C195">
        <v>901.13</v>
      </c>
      <c r="D195" t="s">
        <v>182</v>
      </c>
      <c r="E195" t="s">
        <v>183</v>
      </c>
      <c r="F195" t="s">
        <v>19</v>
      </c>
      <c r="G195" t="s">
        <v>175</v>
      </c>
      <c r="H195">
        <v>33.654460739999998</v>
      </c>
      <c r="I195">
        <v>-117.65968666000001</v>
      </c>
      <c r="J195" t="s">
        <v>116</v>
      </c>
      <c r="K195" t="s">
        <v>27</v>
      </c>
      <c r="L195" s="21" t="s">
        <v>127</v>
      </c>
    </row>
    <row r="196" spans="1:12" x14ac:dyDescent="0.25">
      <c r="A196" t="s">
        <v>136</v>
      </c>
      <c r="B196" t="s">
        <v>182</v>
      </c>
      <c r="C196">
        <v>901.13</v>
      </c>
      <c r="D196" t="s">
        <v>182</v>
      </c>
      <c r="E196" t="s">
        <v>183</v>
      </c>
      <c r="F196" t="s">
        <v>19</v>
      </c>
      <c r="G196" t="s">
        <v>176</v>
      </c>
      <c r="H196">
        <v>33.633411240000001</v>
      </c>
      <c r="I196">
        <v>-117.67690046</v>
      </c>
      <c r="J196" t="s">
        <v>116</v>
      </c>
      <c r="K196" t="s">
        <v>27</v>
      </c>
      <c r="L196" s="21" t="s">
        <v>127</v>
      </c>
    </row>
    <row r="197" spans="1:12" x14ac:dyDescent="0.25">
      <c r="A197" t="s">
        <v>140</v>
      </c>
      <c r="B197" t="s">
        <v>182</v>
      </c>
      <c r="C197">
        <v>901.13</v>
      </c>
      <c r="D197" t="s">
        <v>182</v>
      </c>
      <c r="E197" s="24" t="s">
        <v>113</v>
      </c>
      <c r="F197" t="s">
        <v>19</v>
      </c>
      <c r="G197" t="s">
        <v>177</v>
      </c>
      <c r="H197">
        <v>33.599891710000001</v>
      </c>
      <c r="I197">
        <v>-117.70736544</v>
      </c>
      <c r="J197" t="s">
        <v>116</v>
      </c>
      <c r="K197" t="s">
        <v>27</v>
      </c>
      <c r="L197" s="21" t="s">
        <v>127</v>
      </c>
    </row>
    <row r="198" spans="1:12" x14ac:dyDescent="0.25">
      <c r="A198" t="s">
        <v>136</v>
      </c>
      <c r="B198" t="s">
        <v>182</v>
      </c>
      <c r="C198">
        <v>901.13</v>
      </c>
      <c r="D198" t="s">
        <v>182</v>
      </c>
      <c r="E198" s="24" t="s">
        <v>113</v>
      </c>
      <c r="F198" t="s">
        <v>19</v>
      </c>
      <c r="G198" t="s">
        <v>178</v>
      </c>
      <c r="H198">
        <v>33.660018149999999</v>
      </c>
      <c r="I198">
        <v>-117.65341103999999</v>
      </c>
      <c r="J198" t="s">
        <v>116</v>
      </c>
      <c r="K198" t="s">
        <v>114</v>
      </c>
      <c r="L198" s="21" t="s">
        <v>127</v>
      </c>
    </row>
    <row r="199" spans="1:12" x14ac:dyDescent="0.25">
      <c r="A199" t="s">
        <v>137</v>
      </c>
      <c r="B199" t="s">
        <v>182</v>
      </c>
      <c r="C199">
        <v>901.13</v>
      </c>
      <c r="D199" t="s">
        <v>182</v>
      </c>
      <c r="E199" s="24" t="s">
        <v>113</v>
      </c>
      <c r="F199" t="s">
        <v>19</v>
      </c>
      <c r="G199" t="s">
        <v>179</v>
      </c>
      <c r="H199">
        <v>33.669217930000002</v>
      </c>
      <c r="I199">
        <v>-117.62696237999999</v>
      </c>
      <c r="J199" t="s">
        <v>116</v>
      </c>
      <c r="K199" t="s">
        <v>114</v>
      </c>
      <c r="L199" s="21" t="s">
        <v>127</v>
      </c>
    </row>
    <row r="200" spans="1:12" x14ac:dyDescent="0.25">
      <c r="A200" t="s">
        <v>136</v>
      </c>
      <c r="B200" t="s">
        <v>182</v>
      </c>
      <c r="C200">
        <v>901.13</v>
      </c>
      <c r="D200" t="s">
        <v>182</v>
      </c>
      <c r="E200" t="s">
        <v>112</v>
      </c>
      <c r="F200" t="s">
        <v>19</v>
      </c>
      <c r="G200" t="s">
        <v>180</v>
      </c>
      <c r="H200">
        <v>33.644122510000003</v>
      </c>
      <c r="I200">
        <v>-117.66581629</v>
      </c>
      <c r="J200" t="s">
        <v>116</v>
      </c>
      <c r="K200" t="s">
        <v>27</v>
      </c>
      <c r="L200" s="21" t="s">
        <v>127</v>
      </c>
    </row>
    <row r="201" spans="1:12" x14ac:dyDescent="0.25">
      <c r="A201" t="s">
        <v>139</v>
      </c>
      <c r="B201" t="s">
        <v>182</v>
      </c>
      <c r="C201">
        <v>901.13</v>
      </c>
      <c r="D201" t="s">
        <v>182</v>
      </c>
      <c r="E201" t="s">
        <v>183</v>
      </c>
      <c r="F201" t="s">
        <v>19</v>
      </c>
      <c r="G201" t="s">
        <v>181</v>
      </c>
      <c r="H201">
        <v>33.556482010000003</v>
      </c>
      <c r="I201">
        <v>-117.71779825</v>
      </c>
      <c r="J201" t="s">
        <v>116</v>
      </c>
      <c r="K201" t="s">
        <v>27</v>
      </c>
      <c r="L201" s="21" t="s">
        <v>127</v>
      </c>
    </row>
    <row r="202" spans="1:12" x14ac:dyDescent="0.25">
      <c r="A202" t="s">
        <v>136</v>
      </c>
      <c r="B202" t="s">
        <v>182</v>
      </c>
      <c r="C202">
        <v>901.13</v>
      </c>
      <c r="D202" t="s">
        <v>182</v>
      </c>
      <c r="F202" t="s">
        <v>19</v>
      </c>
      <c r="G202" t="s">
        <v>141</v>
      </c>
      <c r="H202">
        <v>33.634068409999998</v>
      </c>
      <c r="I202">
        <v>-117.6746996</v>
      </c>
      <c r="J202" t="s">
        <v>115</v>
      </c>
      <c r="K202" t="s">
        <v>27</v>
      </c>
      <c r="L202" s="21" t="s">
        <v>127</v>
      </c>
    </row>
    <row r="203" spans="1:12" x14ac:dyDescent="0.25">
      <c r="A203" t="s">
        <v>137</v>
      </c>
      <c r="B203" t="s">
        <v>182</v>
      </c>
      <c r="C203">
        <v>901.13</v>
      </c>
      <c r="D203" t="s">
        <v>182</v>
      </c>
      <c r="E203" t="s">
        <v>183</v>
      </c>
      <c r="F203" t="s">
        <v>19</v>
      </c>
      <c r="G203" t="s">
        <v>142</v>
      </c>
      <c r="H203">
        <v>33.61059435</v>
      </c>
      <c r="I203">
        <v>-117.69276829</v>
      </c>
      <c r="J203" t="s">
        <v>115</v>
      </c>
      <c r="K203" t="s">
        <v>27</v>
      </c>
      <c r="L203" s="21" t="s">
        <v>127</v>
      </c>
    </row>
    <row r="204" spans="1:12" x14ac:dyDescent="0.25">
      <c r="A204" t="s">
        <v>136</v>
      </c>
      <c r="B204" t="s">
        <v>182</v>
      </c>
      <c r="C204">
        <v>901.13</v>
      </c>
      <c r="D204" t="s">
        <v>182</v>
      </c>
      <c r="E204" t="s">
        <v>183</v>
      </c>
      <c r="F204" t="s">
        <v>19</v>
      </c>
      <c r="G204" t="s">
        <v>143</v>
      </c>
      <c r="H204">
        <v>33.628367539999999</v>
      </c>
      <c r="I204">
        <v>-117.68367057</v>
      </c>
      <c r="J204" t="s">
        <v>115</v>
      </c>
      <c r="K204" t="s">
        <v>27</v>
      </c>
      <c r="L204" s="21" t="s">
        <v>127</v>
      </c>
    </row>
    <row r="205" spans="1:12" x14ac:dyDescent="0.25">
      <c r="A205" t="s">
        <v>136</v>
      </c>
      <c r="B205" t="s">
        <v>182</v>
      </c>
      <c r="C205">
        <v>901.13</v>
      </c>
      <c r="D205" t="s">
        <v>182</v>
      </c>
      <c r="E205" s="24" t="s">
        <v>113</v>
      </c>
      <c r="F205" t="s">
        <v>19</v>
      </c>
      <c r="G205" t="s">
        <v>144</v>
      </c>
      <c r="H205">
        <v>33.624342470000002</v>
      </c>
      <c r="I205">
        <v>-117.68995504</v>
      </c>
      <c r="J205" t="s">
        <v>115</v>
      </c>
      <c r="K205" t="s">
        <v>27</v>
      </c>
      <c r="L205" s="21" t="s">
        <v>127</v>
      </c>
    </row>
    <row r="206" spans="1:12" x14ac:dyDescent="0.25">
      <c r="A206" t="s">
        <v>138</v>
      </c>
      <c r="B206" t="s">
        <v>182</v>
      </c>
      <c r="C206">
        <v>901.13</v>
      </c>
      <c r="D206" t="s">
        <v>182</v>
      </c>
      <c r="E206" t="s">
        <v>183</v>
      </c>
      <c r="F206" t="s">
        <v>19</v>
      </c>
      <c r="G206" t="s">
        <v>145</v>
      </c>
      <c r="H206">
        <v>33.573255940000003</v>
      </c>
      <c r="I206">
        <v>-117.71661229</v>
      </c>
      <c r="J206" t="s">
        <v>115</v>
      </c>
      <c r="K206" t="s">
        <v>27</v>
      </c>
      <c r="L206" s="21" t="s">
        <v>127</v>
      </c>
    </row>
    <row r="207" spans="1:12" x14ac:dyDescent="0.25">
      <c r="A207" t="s">
        <v>138</v>
      </c>
      <c r="B207" t="s">
        <v>182</v>
      </c>
      <c r="C207">
        <v>901.13</v>
      </c>
      <c r="D207" t="s">
        <v>182</v>
      </c>
      <c r="E207" t="s">
        <v>112</v>
      </c>
      <c r="F207" t="s">
        <v>19</v>
      </c>
      <c r="G207" t="s">
        <v>146</v>
      </c>
      <c r="H207">
        <v>33.581589100000002</v>
      </c>
      <c r="I207">
        <v>-117.74576012999999</v>
      </c>
      <c r="J207" t="s">
        <v>115</v>
      </c>
      <c r="K207" t="s">
        <v>27</v>
      </c>
      <c r="L207" s="21" t="s">
        <v>127</v>
      </c>
    </row>
    <row r="208" spans="1:12" x14ac:dyDescent="0.25">
      <c r="A208" t="s">
        <v>138</v>
      </c>
      <c r="B208" t="s">
        <v>182</v>
      </c>
      <c r="C208">
        <v>901.13</v>
      </c>
      <c r="D208" t="s">
        <v>182</v>
      </c>
      <c r="E208" s="24" t="s">
        <v>113</v>
      </c>
      <c r="F208" t="s">
        <v>19</v>
      </c>
      <c r="G208" t="s">
        <v>147</v>
      </c>
      <c r="H208">
        <v>33.581585230000002</v>
      </c>
      <c r="I208">
        <v>-117.74573687</v>
      </c>
      <c r="J208" t="s">
        <v>115</v>
      </c>
      <c r="K208" t="s">
        <v>114</v>
      </c>
      <c r="L208" s="21" t="s">
        <v>127</v>
      </c>
    </row>
    <row r="209" spans="1:12" x14ac:dyDescent="0.25">
      <c r="A209" t="s">
        <v>136</v>
      </c>
      <c r="B209" t="s">
        <v>182</v>
      </c>
      <c r="C209">
        <v>901.13</v>
      </c>
      <c r="D209" t="s">
        <v>182</v>
      </c>
      <c r="E209" t="s">
        <v>112</v>
      </c>
      <c r="F209" t="s">
        <v>19</v>
      </c>
      <c r="G209" t="s">
        <v>148</v>
      </c>
      <c r="H209">
        <v>33.649077869999999</v>
      </c>
      <c r="I209">
        <v>-117.66135278</v>
      </c>
      <c r="J209" t="s">
        <v>115</v>
      </c>
      <c r="K209" t="s">
        <v>26</v>
      </c>
      <c r="L209" s="21" t="s">
        <v>127</v>
      </c>
    </row>
    <row r="210" spans="1:12" x14ac:dyDescent="0.25">
      <c r="A210" t="s">
        <v>136</v>
      </c>
      <c r="B210" t="s">
        <v>182</v>
      </c>
      <c r="C210">
        <v>901.13</v>
      </c>
      <c r="D210" t="s">
        <v>182</v>
      </c>
      <c r="E210" s="24" t="s">
        <v>26</v>
      </c>
      <c r="F210" t="s">
        <v>19</v>
      </c>
      <c r="G210" t="s">
        <v>149</v>
      </c>
      <c r="H210">
        <v>33.656142559999999</v>
      </c>
      <c r="I210">
        <v>-117.65941801</v>
      </c>
      <c r="J210" t="s">
        <v>115</v>
      </c>
      <c r="K210" t="s">
        <v>27</v>
      </c>
      <c r="L210" s="21" t="s">
        <v>127</v>
      </c>
    </row>
    <row r="211" spans="1:12" x14ac:dyDescent="0.25">
      <c r="A211" t="s">
        <v>139</v>
      </c>
      <c r="B211" t="s">
        <v>182</v>
      </c>
      <c r="C211">
        <v>901.13</v>
      </c>
      <c r="D211" t="s">
        <v>182</v>
      </c>
      <c r="F211" t="s">
        <v>19</v>
      </c>
      <c r="G211" t="s">
        <v>150</v>
      </c>
      <c r="H211">
        <v>33.539911459999999</v>
      </c>
      <c r="I211">
        <v>-117.70417019</v>
      </c>
      <c r="J211" t="s">
        <v>115</v>
      </c>
      <c r="K211" t="s">
        <v>27</v>
      </c>
      <c r="L211" s="21" t="s">
        <v>127</v>
      </c>
    </row>
    <row r="212" spans="1:12" x14ac:dyDescent="0.25">
      <c r="A212" t="s">
        <v>138</v>
      </c>
      <c r="B212" t="s">
        <v>182</v>
      </c>
      <c r="C212">
        <v>901.13</v>
      </c>
      <c r="D212" t="s">
        <v>182</v>
      </c>
      <c r="E212" t="s">
        <v>112</v>
      </c>
      <c r="F212" t="s">
        <v>19</v>
      </c>
      <c r="G212" t="s">
        <v>151</v>
      </c>
      <c r="H212">
        <v>33.581570739999997</v>
      </c>
      <c r="I212">
        <v>-117.74572664</v>
      </c>
      <c r="J212" t="s">
        <v>115</v>
      </c>
      <c r="K212" t="s">
        <v>27</v>
      </c>
      <c r="L212" s="21" t="s">
        <v>127</v>
      </c>
    </row>
    <row r="213" spans="1:12" x14ac:dyDescent="0.25">
      <c r="A213" t="s">
        <v>136</v>
      </c>
      <c r="B213" t="s">
        <v>182</v>
      </c>
      <c r="C213">
        <v>901.13</v>
      </c>
      <c r="D213" t="s">
        <v>182</v>
      </c>
      <c r="E213" t="s">
        <v>183</v>
      </c>
      <c r="F213" t="s">
        <v>19</v>
      </c>
      <c r="G213" t="s">
        <v>152</v>
      </c>
      <c r="H213">
        <v>33.632756090000001</v>
      </c>
      <c r="I213">
        <v>-117.6769216</v>
      </c>
      <c r="J213" t="s">
        <v>115</v>
      </c>
      <c r="K213" t="s">
        <v>26</v>
      </c>
      <c r="L213" s="21" t="s">
        <v>127</v>
      </c>
    </row>
    <row r="214" spans="1:12" x14ac:dyDescent="0.25">
      <c r="A214" t="s">
        <v>136</v>
      </c>
      <c r="B214" t="s">
        <v>182</v>
      </c>
      <c r="C214">
        <v>901.13</v>
      </c>
      <c r="D214" t="s">
        <v>182</v>
      </c>
      <c r="E214" t="s">
        <v>183</v>
      </c>
      <c r="F214" t="s">
        <v>19</v>
      </c>
      <c r="G214" t="s">
        <v>153</v>
      </c>
      <c r="H214">
        <v>33.617161750000001</v>
      </c>
      <c r="I214">
        <v>-117.69366497999999</v>
      </c>
      <c r="J214" t="s">
        <v>115</v>
      </c>
      <c r="K214" t="s">
        <v>27</v>
      </c>
      <c r="L214" s="21" t="s">
        <v>127</v>
      </c>
    </row>
    <row r="215" spans="1:12" x14ac:dyDescent="0.25">
      <c r="A215" t="s">
        <v>136</v>
      </c>
      <c r="B215" t="s">
        <v>182</v>
      </c>
      <c r="C215">
        <v>901.13</v>
      </c>
      <c r="D215" t="s">
        <v>182</v>
      </c>
      <c r="E215" s="24" t="s">
        <v>113</v>
      </c>
      <c r="F215" t="s">
        <v>19</v>
      </c>
      <c r="G215" t="s">
        <v>154</v>
      </c>
      <c r="H215">
        <v>33.650866329999999</v>
      </c>
      <c r="I215">
        <v>-117.66064651000001</v>
      </c>
      <c r="J215" t="s">
        <v>115</v>
      </c>
      <c r="K215" t="s">
        <v>114</v>
      </c>
      <c r="L215" s="21" t="s">
        <v>127</v>
      </c>
    </row>
    <row r="216" spans="1:12" x14ac:dyDescent="0.25">
      <c r="A216" t="s">
        <v>139</v>
      </c>
      <c r="B216" t="s">
        <v>182</v>
      </c>
      <c r="C216">
        <v>901.13</v>
      </c>
      <c r="D216" t="s">
        <v>182</v>
      </c>
      <c r="F216" t="s">
        <v>19</v>
      </c>
      <c r="G216" t="s">
        <v>155</v>
      </c>
      <c r="H216">
        <v>33.546174399999998</v>
      </c>
      <c r="I216">
        <v>-117.70304417</v>
      </c>
      <c r="J216" t="s">
        <v>115</v>
      </c>
      <c r="K216" t="s">
        <v>27</v>
      </c>
      <c r="L216" s="21" t="s">
        <v>127</v>
      </c>
    </row>
    <row r="217" spans="1:12" x14ac:dyDescent="0.25">
      <c r="A217" t="s">
        <v>138</v>
      </c>
      <c r="B217" t="s">
        <v>182</v>
      </c>
      <c r="C217">
        <v>901.13</v>
      </c>
      <c r="D217" t="s">
        <v>182</v>
      </c>
      <c r="E217" t="s">
        <v>183</v>
      </c>
      <c r="F217" t="s">
        <v>19</v>
      </c>
      <c r="G217" t="s">
        <v>156</v>
      </c>
      <c r="H217">
        <v>33.576771720000004</v>
      </c>
      <c r="I217">
        <v>-117.71330931999999</v>
      </c>
      <c r="J217" t="s">
        <v>115</v>
      </c>
      <c r="K217" t="s">
        <v>27</v>
      </c>
      <c r="L217" s="21" t="s">
        <v>127</v>
      </c>
    </row>
    <row r="218" spans="1:12" x14ac:dyDescent="0.25">
      <c r="A218" t="s">
        <v>136</v>
      </c>
      <c r="B218" t="s">
        <v>182</v>
      </c>
      <c r="C218">
        <v>901.13</v>
      </c>
      <c r="D218" t="s">
        <v>182</v>
      </c>
      <c r="E218" t="s">
        <v>122</v>
      </c>
      <c r="F218" t="s">
        <v>19</v>
      </c>
      <c r="G218" t="s">
        <v>157</v>
      </c>
      <c r="H218">
        <v>33.66346514</v>
      </c>
      <c r="I218">
        <v>-117.65406845</v>
      </c>
      <c r="J218" t="s">
        <v>115</v>
      </c>
      <c r="K218" t="s">
        <v>27</v>
      </c>
      <c r="L218" s="21" t="s">
        <v>127</v>
      </c>
    </row>
    <row r="219" spans="1:12" x14ac:dyDescent="0.25">
      <c r="A219" t="s">
        <v>136</v>
      </c>
      <c r="B219" t="s">
        <v>182</v>
      </c>
      <c r="C219">
        <v>901.13</v>
      </c>
      <c r="D219" t="s">
        <v>182</v>
      </c>
      <c r="E219" t="s">
        <v>112</v>
      </c>
      <c r="F219" t="s">
        <v>19</v>
      </c>
      <c r="G219" t="s">
        <v>158</v>
      </c>
      <c r="H219">
        <v>33.672848090000002</v>
      </c>
      <c r="I219">
        <v>-117.63885049</v>
      </c>
      <c r="J219" t="s">
        <v>115</v>
      </c>
      <c r="K219" t="s">
        <v>26</v>
      </c>
      <c r="L219" s="21" t="s">
        <v>127</v>
      </c>
    </row>
    <row r="220" spans="1:12" x14ac:dyDescent="0.25">
      <c r="A220" t="s">
        <v>136</v>
      </c>
      <c r="B220" t="s">
        <v>182</v>
      </c>
      <c r="C220">
        <v>901.13</v>
      </c>
      <c r="D220" t="s">
        <v>182</v>
      </c>
      <c r="E220" t="s">
        <v>112</v>
      </c>
      <c r="F220" t="s">
        <v>19</v>
      </c>
      <c r="G220" t="s">
        <v>159</v>
      </c>
      <c r="H220">
        <v>33.671013539999997</v>
      </c>
      <c r="I220">
        <v>-117.62627934</v>
      </c>
      <c r="J220" t="s">
        <v>115</v>
      </c>
      <c r="K220" t="s">
        <v>27</v>
      </c>
      <c r="L220" s="21" t="s">
        <v>127</v>
      </c>
    </row>
    <row r="221" spans="1:12" x14ac:dyDescent="0.25">
      <c r="A221" t="s">
        <v>136</v>
      </c>
      <c r="B221" t="s">
        <v>182</v>
      </c>
      <c r="C221">
        <v>901.13</v>
      </c>
      <c r="D221" t="s">
        <v>182</v>
      </c>
      <c r="E221" t="s">
        <v>183</v>
      </c>
      <c r="F221" t="s">
        <v>19</v>
      </c>
      <c r="G221" t="s">
        <v>160</v>
      </c>
      <c r="H221">
        <v>33.678030999999997</v>
      </c>
      <c r="I221">
        <v>-117.623537</v>
      </c>
      <c r="J221" t="s">
        <v>115</v>
      </c>
      <c r="K221" t="s">
        <v>27</v>
      </c>
      <c r="L221" s="21" t="s">
        <v>127</v>
      </c>
    </row>
    <row r="222" spans="1:12" x14ac:dyDescent="0.25">
      <c r="A222" t="s">
        <v>139</v>
      </c>
      <c r="B222" t="s">
        <v>182</v>
      </c>
      <c r="C222">
        <v>901.13</v>
      </c>
      <c r="D222" t="s">
        <v>182</v>
      </c>
      <c r="E222" t="s">
        <v>183</v>
      </c>
      <c r="F222" t="s">
        <v>19</v>
      </c>
      <c r="G222" t="s">
        <v>161</v>
      </c>
      <c r="H222">
        <v>33.55761613</v>
      </c>
      <c r="I222">
        <v>-117.71767994</v>
      </c>
      <c r="J222" t="s">
        <v>115</v>
      </c>
      <c r="K222" t="s">
        <v>27</v>
      </c>
      <c r="L222" s="21" t="s">
        <v>127</v>
      </c>
    </row>
    <row r="223" spans="1:12" x14ac:dyDescent="0.25">
      <c r="A223" t="s">
        <v>136</v>
      </c>
      <c r="B223" t="s">
        <v>182</v>
      </c>
      <c r="C223">
        <v>901.13</v>
      </c>
      <c r="D223" t="s">
        <v>182</v>
      </c>
      <c r="E223" t="s">
        <v>183</v>
      </c>
      <c r="F223" t="s">
        <v>19</v>
      </c>
      <c r="G223" t="s">
        <v>162</v>
      </c>
      <c r="H223">
        <v>33.654533450000002</v>
      </c>
      <c r="I223">
        <v>-117.65979766</v>
      </c>
      <c r="J223" t="s">
        <v>115</v>
      </c>
      <c r="K223" t="s">
        <v>26</v>
      </c>
      <c r="L223" s="21" t="s">
        <v>127</v>
      </c>
    </row>
    <row r="224" spans="1:12" x14ac:dyDescent="0.25">
      <c r="A224" t="s">
        <v>138</v>
      </c>
      <c r="B224" t="s">
        <v>182</v>
      </c>
      <c r="C224">
        <v>901.13</v>
      </c>
      <c r="D224" t="s">
        <v>182</v>
      </c>
      <c r="E224" t="s">
        <v>112</v>
      </c>
      <c r="F224" t="s">
        <v>19</v>
      </c>
      <c r="G224" t="s">
        <v>163</v>
      </c>
      <c r="H224">
        <v>33.56256131</v>
      </c>
      <c r="I224">
        <v>-117.74339261999999</v>
      </c>
      <c r="J224" t="s">
        <v>115</v>
      </c>
      <c r="K224" t="s">
        <v>26</v>
      </c>
      <c r="L224" s="21" t="s">
        <v>127</v>
      </c>
    </row>
    <row r="225" spans="1:12" x14ac:dyDescent="0.25">
      <c r="A225" t="s">
        <v>138</v>
      </c>
      <c r="B225" t="s">
        <v>182</v>
      </c>
      <c r="C225">
        <v>901.13</v>
      </c>
      <c r="D225" t="s">
        <v>182</v>
      </c>
      <c r="E225" t="s">
        <v>112</v>
      </c>
      <c r="F225" t="s">
        <v>19</v>
      </c>
      <c r="G225" t="s">
        <v>164</v>
      </c>
      <c r="H225">
        <v>33.564566509999999</v>
      </c>
      <c r="I225">
        <v>-117.71845082999999</v>
      </c>
      <c r="J225" t="s">
        <v>115</v>
      </c>
      <c r="K225" t="s">
        <v>27</v>
      </c>
      <c r="L225" s="21" t="s">
        <v>127</v>
      </c>
    </row>
    <row r="226" spans="1:12" x14ac:dyDescent="0.25">
      <c r="A226" t="s">
        <v>138</v>
      </c>
      <c r="B226" t="s">
        <v>182</v>
      </c>
      <c r="C226">
        <v>901.13</v>
      </c>
      <c r="D226" t="s">
        <v>182</v>
      </c>
      <c r="E226" t="s">
        <v>112</v>
      </c>
      <c r="F226" t="s">
        <v>19</v>
      </c>
      <c r="G226" t="s">
        <v>165</v>
      </c>
      <c r="H226">
        <v>33.558645140000003</v>
      </c>
      <c r="I226">
        <v>-117.73782663999999</v>
      </c>
      <c r="J226" t="s">
        <v>115</v>
      </c>
      <c r="K226" t="s">
        <v>27</v>
      </c>
      <c r="L226" s="21" t="s">
        <v>127</v>
      </c>
    </row>
    <row r="227" spans="1:12" x14ac:dyDescent="0.25">
      <c r="A227" t="s">
        <v>139</v>
      </c>
      <c r="B227" t="s">
        <v>182</v>
      </c>
      <c r="C227">
        <v>901.13</v>
      </c>
      <c r="D227" t="s">
        <v>182</v>
      </c>
      <c r="E227" t="s">
        <v>183</v>
      </c>
      <c r="F227" t="s">
        <v>19</v>
      </c>
      <c r="G227" t="s">
        <v>166</v>
      </c>
      <c r="H227">
        <v>33.554893999999997</v>
      </c>
      <c r="I227">
        <v>-117.71895089</v>
      </c>
      <c r="J227" t="s">
        <v>115</v>
      </c>
      <c r="K227" t="s">
        <v>27</v>
      </c>
      <c r="L227" s="21" t="s">
        <v>127</v>
      </c>
    </row>
    <row r="228" spans="1:12" x14ac:dyDescent="0.25">
      <c r="A228" t="s">
        <v>138</v>
      </c>
      <c r="B228" t="s">
        <v>182</v>
      </c>
      <c r="C228">
        <v>901.13</v>
      </c>
      <c r="D228" t="s">
        <v>182</v>
      </c>
      <c r="E228" s="24" t="s">
        <v>113</v>
      </c>
      <c r="F228" t="s">
        <v>19</v>
      </c>
      <c r="G228" t="s">
        <v>167</v>
      </c>
      <c r="H228">
        <v>33.559105799999998</v>
      </c>
      <c r="I228">
        <v>-117.7186966</v>
      </c>
      <c r="J228" t="s">
        <v>115</v>
      </c>
      <c r="K228" t="s">
        <v>27</v>
      </c>
      <c r="L228" s="21" t="s">
        <v>127</v>
      </c>
    </row>
    <row r="229" spans="1:12" x14ac:dyDescent="0.25">
      <c r="A229" t="s">
        <v>111</v>
      </c>
      <c r="B229" t="s">
        <v>182</v>
      </c>
      <c r="C229">
        <v>901.13</v>
      </c>
      <c r="D229" t="s">
        <v>182</v>
      </c>
      <c r="E229" s="24" t="s">
        <v>113</v>
      </c>
      <c r="F229" t="s">
        <v>19</v>
      </c>
      <c r="G229" t="s">
        <v>168</v>
      </c>
      <c r="H229">
        <v>33.544339190000002</v>
      </c>
      <c r="I229">
        <v>-117.72724114</v>
      </c>
      <c r="J229" t="s">
        <v>115</v>
      </c>
      <c r="K229" t="s">
        <v>114</v>
      </c>
      <c r="L229" s="21" t="s">
        <v>127</v>
      </c>
    </row>
    <row r="230" spans="1:12" x14ac:dyDescent="0.25">
      <c r="A230" t="s">
        <v>111</v>
      </c>
      <c r="B230" t="s">
        <v>182</v>
      </c>
      <c r="C230">
        <v>901.13</v>
      </c>
      <c r="D230" t="s">
        <v>182</v>
      </c>
      <c r="E230" t="s">
        <v>183</v>
      </c>
      <c r="F230" t="s">
        <v>19</v>
      </c>
      <c r="G230" t="s">
        <v>169</v>
      </c>
      <c r="H230">
        <v>33.549854269999997</v>
      </c>
      <c r="I230">
        <v>-117.72129019</v>
      </c>
      <c r="J230" t="s">
        <v>115</v>
      </c>
      <c r="K230" t="s">
        <v>27</v>
      </c>
      <c r="L230" s="21" t="s">
        <v>127</v>
      </c>
    </row>
    <row r="231" spans="1:12" x14ac:dyDescent="0.25">
      <c r="A231" t="s">
        <v>137</v>
      </c>
      <c r="B231" t="s">
        <v>182</v>
      </c>
      <c r="C231">
        <v>901.13</v>
      </c>
      <c r="D231" t="s">
        <v>182</v>
      </c>
      <c r="E231" t="s">
        <v>183</v>
      </c>
      <c r="F231" t="s">
        <v>19</v>
      </c>
      <c r="G231" t="s">
        <v>170</v>
      </c>
      <c r="H231">
        <v>33.609340500000002</v>
      </c>
      <c r="I231">
        <v>-117.69288756</v>
      </c>
      <c r="J231" t="s">
        <v>115</v>
      </c>
      <c r="K231" t="s">
        <v>27</v>
      </c>
      <c r="L231" s="21" t="s">
        <v>127</v>
      </c>
    </row>
    <row r="232" spans="1:12" x14ac:dyDescent="0.25">
      <c r="A232" t="s">
        <v>138</v>
      </c>
      <c r="B232" t="s">
        <v>182</v>
      </c>
      <c r="C232">
        <v>901.13</v>
      </c>
      <c r="D232" t="s">
        <v>182</v>
      </c>
      <c r="E232" t="s">
        <v>183</v>
      </c>
      <c r="F232" t="s">
        <v>19</v>
      </c>
      <c r="G232" t="s">
        <v>171</v>
      </c>
      <c r="H232">
        <v>33.574713430000003</v>
      </c>
      <c r="I232">
        <v>-117.71586502</v>
      </c>
      <c r="J232" t="s">
        <v>115</v>
      </c>
      <c r="K232" t="s">
        <v>26</v>
      </c>
      <c r="L232" s="21" t="s">
        <v>127</v>
      </c>
    </row>
    <row r="233" spans="1:12" x14ac:dyDescent="0.25">
      <c r="A233" t="s">
        <v>136</v>
      </c>
      <c r="B233" t="s">
        <v>182</v>
      </c>
      <c r="C233">
        <v>901.13</v>
      </c>
      <c r="D233" t="s">
        <v>182</v>
      </c>
      <c r="E233" t="s">
        <v>183</v>
      </c>
      <c r="F233" t="s">
        <v>19</v>
      </c>
      <c r="G233" t="s">
        <v>172</v>
      </c>
      <c r="H233">
        <v>33.658091970000001</v>
      </c>
      <c r="I233">
        <v>-117.65776843</v>
      </c>
      <c r="J233" t="s">
        <v>115</v>
      </c>
      <c r="K233" t="s">
        <v>26</v>
      </c>
      <c r="L233" s="21" t="s">
        <v>127</v>
      </c>
    </row>
    <row r="234" spans="1:12" x14ac:dyDescent="0.25">
      <c r="A234" t="s">
        <v>138</v>
      </c>
      <c r="B234" t="s">
        <v>182</v>
      </c>
      <c r="C234">
        <v>901.13</v>
      </c>
      <c r="D234" t="s">
        <v>182</v>
      </c>
      <c r="E234" t="s">
        <v>183</v>
      </c>
      <c r="F234" t="s">
        <v>19</v>
      </c>
      <c r="G234" t="s">
        <v>173</v>
      </c>
      <c r="H234">
        <v>33.570908350000003</v>
      </c>
      <c r="I234">
        <v>-117.71707369000001</v>
      </c>
      <c r="J234" t="s">
        <v>115</v>
      </c>
      <c r="K234" t="s">
        <v>27</v>
      </c>
      <c r="L234" s="21" t="s">
        <v>127</v>
      </c>
    </row>
    <row r="235" spans="1:12" x14ac:dyDescent="0.25">
      <c r="A235" t="s">
        <v>139</v>
      </c>
      <c r="B235" t="s">
        <v>182</v>
      </c>
      <c r="C235">
        <v>901.13</v>
      </c>
      <c r="D235" t="s">
        <v>182</v>
      </c>
      <c r="E235" t="s">
        <v>122</v>
      </c>
      <c r="F235" t="s">
        <v>19</v>
      </c>
      <c r="G235" t="s">
        <v>174</v>
      </c>
      <c r="H235">
        <v>33.552638780000002</v>
      </c>
      <c r="I235">
        <v>-117.70882948000001</v>
      </c>
      <c r="J235" t="s">
        <v>115</v>
      </c>
      <c r="K235" t="s">
        <v>27</v>
      </c>
      <c r="L235" s="21" t="s">
        <v>127</v>
      </c>
    </row>
    <row r="236" spans="1:12" x14ac:dyDescent="0.25">
      <c r="A236" t="s">
        <v>136</v>
      </c>
      <c r="B236" t="s">
        <v>182</v>
      </c>
      <c r="C236">
        <v>901.13</v>
      </c>
      <c r="D236" t="s">
        <v>182</v>
      </c>
      <c r="E236" t="s">
        <v>183</v>
      </c>
      <c r="F236" t="s">
        <v>19</v>
      </c>
      <c r="G236" t="s">
        <v>175</v>
      </c>
      <c r="H236">
        <v>33.654460739999998</v>
      </c>
      <c r="I236">
        <v>-117.65968666000001</v>
      </c>
      <c r="J236" t="s">
        <v>115</v>
      </c>
      <c r="K236" t="s">
        <v>26</v>
      </c>
      <c r="L236" s="21" t="s">
        <v>127</v>
      </c>
    </row>
    <row r="237" spans="1:12" x14ac:dyDescent="0.25">
      <c r="A237" t="s">
        <v>136</v>
      </c>
      <c r="B237" t="s">
        <v>182</v>
      </c>
      <c r="C237">
        <v>901.13</v>
      </c>
      <c r="D237" t="s">
        <v>182</v>
      </c>
      <c r="E237" t="s">
        <v>183</v>
      </c>
      <c r="F237" t="s">
        <v>19</v>
      </c>
      <c r="G237" t="s">
        <v>176</v>
      </c>
      <c r="H237">
        <v>33.633411240000001</v>
      </c>
      <c r="I237">
        <v>-117.67690046</v>
      </c>
      <c r="J237" t="s">
        <v>115</v>
      </c>
      <c r="K237" t="s">
        <v>27</v>
      </c>
      <c r="L237" s="21" t="s">
        <v>127</v>
      </c>
    </row>
    <row r="238" spans="1:12" x14ac:dyDescent="0.25">
      <c r="A238" t="s">
        <v>140</v>
      </c>
      <c r="B238" t="s">
        <v>182</v>
      </c>
      <c r="C238">
        <v>901.13</v>
      </c>
      <c r="D238" t="s">
        <v>182</v>
      </c>
      <c r="E238" s="24" t="s">
        <v>113</v>
      </c>
      <c r="F238" t="s">
        <v>19</v>
      </c>
      <c r="G238" t="s">
        <v>177</v>
      </c>
      <c r="H238">
        <v>33.599891710000001</v>
      </c>
      <c r="I238">
        <v>-117.70736544</v>
      </c>
      <c r="J238" t="s">
        <v>115</v>
      </c>
      <c r="K238" t="s">
        <v>27</v>
      </c>
      <c r="L238" s="21" t="s">
        <v>127</v>
      </c>
    </row>
    <row r="239" spans="1:12" x14ac:dyDescent="0.25">
      <c r="A239" t="s">
        <v>136</v>
      </c>
      <c r="B239" t="s">
        <v>182</v>
      </c>
      <c r="C239">
        <v>901.13</v>
      </c>
      <c r="D239" t="s">
        <v>182</v>
      </c>
      <c r="E239" s="24" t="s">
        <v>113</v>
      </c>
      <c r="F239" t="s">
        <v>19</v>
      </c>
      <c r="G239" t="s">
        <v>178</v>
      </c>
      <c r="H239">
        <v>33.660018149999999</v>
      </c>
      <c r="I239">
        <v>-117.65341103999999</v>
      </c>
      <c r="J239" t="s">
        <v>115</v>
      </c>
      <c r="K239" t="s">
        <v>114</v>
      </c>
      <c r="L239" s="21" t="s">
        <v>127</v>
      </c>
    </row>
    <row r="240" spans="1:12" x14ac:dyDescent="0.25">
      <c r="A240" t="s">
        <v>137</v>
      </c>
      <c r="B240" t="s">
        <v>182</v>
      </c>
      <c r="C240">
        <v>901.13</v>
      </c>
      <c r="D240" t="s">
        <v>182</v>
      </c>
      <c r="E240" s="24" t="s">
        <v>113</v>
      </c>
      <c r="F240" t="s">
        <v>19</v>
      </c>
      <c r="G240" t="s">
        <v>179</v>
      </c>
      <c r="H240">
        <v>33.669217930000002</v>
      </c>
      <c r="I240">
        <v>-117.62696237999999</v>
      </c>
      <c r="J240" t="s">
        <v>115</v>
      </c>
      <c r="K240" t="s">
        <v>114</v>
      </c>
      <c r="L240" s="21" t="s">
        <v>127</v>
      </c>
    </row>
    <row r="241" spans="1:12" x14ac:dyDescent="0.25">
      <c r="A241" t="s">
        <v>136</v>
      </c>
      <c r="B241" t="s">
        <v>182</v>
      </c>
      <c r="C241">
        <v>901.13</v>
      </c>
      <c r="D241" t="s">
        <v>182</v>
      </c>
      <c r="E241" t="s">
        <v>112</v>
      </c>
      <c r="F241" t="s">
        <v>19</v>
      </c>
      <c r="G241" t="s">
        <v>180</v>
      </c>
      <c r="H241">
        <v>33.644122510000003</v>
      </c>
      <c r="I241">
        <v>-117.66581629</v>
      </c>
      <c r="J241" t="s">
        <v>115</v>
      </c>
      <c r="K241" t="s">
        <v>26</v>
      </c>
      <c r="L241" s="21" t="s">
        <v>127</v>
      </c>
    </row>
    <row r="242" spans="1:12" x14ac:dyDescent="0.25">
      <c r="A242" t="s">
        <v>139</v>
      </c>
      <c r="B242" t="s">
        <v>182</v>
      </c>
      <c r="C242">
        <v>901.13</v>
      </c>
      <c r="D242" t="s">
        <v>182</v>
      </c>
      <c r="E242" t="s">
        <v>183</v>
      </c>
      <c r="F242" t="s">
        <v>19</v>
      </c>
      <c r="G242" t="s">
        <v>181</v>
      </c>
      <c r="H242">
        <v>33.556482010000003</v>
      </c>
      <c r="I242">
        <v>-117.71779825</v>
      </c>
      <c r="J242" t="s">
        <v>115</v>
      </c>
      <c r="K242" t="s">
        <v>27</v>
      </c>
      <c r="L242" s="21" t="s">
        <v>127</v>
      </c>
    </row>
    <row r="243" spans="1:12" x14ac:dyDescent="0.25">
      <c r="A243" t="s">
        <v>136</v>
      </c>
      <c r="B243" t="s">
        <v>182</v>
      </c>
      <c r="C243">
        <v>901.13</v>
      </c>
      <c r="D243" t="s">
        <v>182</v>
      </c>
      <c r="E243" s="24"/>
      <c r="F243" t="s">
        <v>19</v>
      </c>
      <c r="G243" t="s">
        <v>141</v>
      </c>
      <c r="H243">
        <v>33.634068409999998</v>
      </c>
      <c r="I243">
        <v>-117.6746996</v>
      </c>
      <c r="J243" t="s">
        <v>107</v>
      </c>
      <c r="K243" t="s">
        <v>27</v>
      </c>
      <c r="L243" s="21" t="s">
        <v>127</v>
      </c>
    </row>
    <row r="244" spans="1:12" x14ac:dyDescent="0.25">
      <c r="A244" t="s">
        <v>137</v>
      </c>
      <c r="B244" t="s">
        <v>182</v>
      </c>
      <c r="C244">
        <v>901.13</v>
      </c>
      <c r="D244" t="s">
        <v>182</v>
      </c>
      <c r="E244" t="s">
        <v>183</v>
      </c>
      <c r="F244" t="s">
        <v>19</v>
      </c>
      <c r="G244" t="s">
        <v>142</v>
      </c>
      <c r="H244">
        <v>33.61059435</v>
      </c>
      <c r="I244">
        <v>-117.69276829</v>
      </c>
      <c r="J244" t="s">
        <v>107</v>
      </c>
      <c r="K244" t="s">
        <v>27</v>
      </c>
      <c r="L244" s="21" t="s">
        <v>127</v>
      </c>
    </row>
    <row r="245" spans="1:12" x14ac:dyDescent="0.25">
      <c r="A245" t="s">
        <v>136</v>
      </c>
      <c r="B245" t="s">
        <v>182</v>
      </c>
      <c r="C245">
        <v>901.13</v>
      </c>
      <c r="D245" t="s">
        <v>182</v>
      </c>
      <c r="E245" t="s">
        <v>112</v>
      </c>
      <c r="F245" t="s">
        <v>19</v>
      </c>
      <c r="G245" t="s">
        <v>143</v>
      </c>
      <c r="H245">
        <v>33.628367539999999</v>
      </c>
      <c r="I245">
        <v>-117.68367057</v>
      </c>
      <c r="J245" t="s">
        <v>107</v>
      </c>
      <c r="K245" t="s">
        <v>27</v>
      </c>
      <c r="L245" s="21" t="s">
        <v>127</v>
      </c>
    </row>
    <row r="246" spans="1:12" x14ac:dyDescent="0.25">
      <c r="A246" t="s">
        <v>136</v>
      </c>
      <c r="B246" t="s">
        <v>182</v>
      </c>
      <c r="C246">
        <v>901.13</v>
      </c>
      <c r="D246" t="s">
        <v>182</v>
      </c>
      <c r="E246" s="24" t="s">
        <v>113</v>
      </c>
      <c r="F246" t="s">
        <v>19</v>
      </c>
      <c r="G246" t="s">
        <v>144</v>
      </c>
      <c r="H246">
        <v>33.624342470000002</v>
      </c>
      <c r="I246">
        <v>-117.68995504</v>
      </c>
      <c r="J246" t="s">
        <v>107</v>
      </c>
      <c r="K246" t="s">
        <v>27</v>
      </c>
      <c r="L246" s="21" t="s">
        <v>127</v>
      </c>
    </row>
    <row r="247" spans="1:12" x14ac:dyDescent="0.25">
      <c r="A247" t="s">
        <v>138</v>
      </c>
      <c r="B247" t="s">
        <v>182</v>
      </c>
      <c r="C247">
        <v>901.13</v>
      </c>
      <c r="D247" t="s">
        <v>182</v>
      </c>
      <c r="E247" t="s">
        <v>183</v>
      </c>
      <c r="F247" t="s">
        <v>19</v>
      </c>
      <c r="G247" t="s">
        <v>145</v>
      </c>
      <c r="H247">
        <v>33.573255940000003</v>
      </c>
      <c r="I247">
        <v>-117.71661229</v>
      </c>
      <c r="J247" t="s">
        <v>107</v>
      </c>
      <c r="K247" t="s">
        <v>27</v>
      </c>
      <c r="L247" s="21" t="s">
        <v>127</v>
      </c>
    </row>
    <row r="248" spans="1:12" x14ac:dyDescent="0.25">
      <c r="A248" t="s">
        <v>138</v>
      </c>
      <c r="B248" t="s">
        <v>182</v>
      </c>
      <c r="C248">
        <v>901.13</v>
      </c>
      <c r="D248" t="s">
        <v>182</v>
      </c>
      <c r="E248" t="s">
        <v>112</v>
      </c>
      <c r="F248" t="s">
        <v>19</v>
      </c>
      <c r="G248" t="s">
        <v>146</v>
      </c>
      <c r="H248">
        <v>33.581589100000002</v>
      </c>
      <c r="I248">
        <v>-117.74576012999999</v>
      </c>
      <c r="J248" t="s">
        <v>107</v>
      </c>
      <c r="K248" t="s">
        <v>27</v>
      </c>
      <c r="L248" s="21" t="s">
        <v>127</v>
      </c>
    </row>
    <row r="249" spans="1:12" x14ac:dyDescent="0.25">
      <c r="A249" t="s">
        <v>138</v>
      </c>
      <c r="B249" t="s">
        <v>182</v>
      </c>
      <c r="C249">
        <v>901.13</v>
      </c>
      <c r="D249" t="s">
        <v>182</v>
      </c>
      <c r="E249" s="24" t="s">
        <v>113</v>
      </c>
      <c r="F249" t="s">
        <v>19</v>
      </c>
      <c r="G249" t="s">
        <v>147</v>
      </c>
      <c r="H249">
        <v>33.581585230000002</v>
      </c>
      <c r="I249">
        <v>-117.74573687</v>
      </c>
      <c r="J249" t="s">
        <v>107</v>
      </c>
      <c r="K249" t="s">
        <v>114</v>
      </c>
      <c r="L249" s="21" t="s">
        <v>127</v>
      </c>
    </row>
    <row r="250" spans="1:12" x14ac:dyDescent="0.25">
      <c r="A250" t="s">
        <v>136</v>
      </c>
      <c r="B250" t="s">
        <v>182</v>
      </c>
      <c r="C250">
        <v>901.13</v>
      </c>
      <c r="D250" t="s">
        <v>182</v>
      </c>
      <c r="E250" s="24" t="s">
        <v>113</v>
      </c>
      <c r="F250" t="s">
        <v>19</v>
      </c>
      <c r="G250" t="s">
        <v>148</v>
      </c>
      <c r="H250">
        <v>33.649077869999999</v>
      </c>
      <c r="I250">
        <v>-117.66135278</v>
      </c>
      <c r="J250" t="s">
        <v>107</v>
      </c>
      <c r="K250" t="s">
        <v>114</v>
      </c>
      <c r="L250" s="21" t="s">
        <v>127</v>
      </c>
    </row>
    <row r="251" spans="1:12" x14ac:dyDescent="0.25">
      <c r="A251" t="s">
        <v>136</v>
      </c>
      <c r="B251" t="s">
        <v>182</v>
      </c>
      <c r="C251">
        <v>901.13</v>
      </c>
      <c r="D251" t="s">
        <v>182</v>
      </c>
      <c r="E251" t="s">
        <v>122</v>
      </c>
      <c r="F251" t="s">
        <v>19</v>
      </c>
      <c r="G251" t="s">
        <v>149</v>
      </c>
      <c r="H251">
        <v>33.656142559999999</v>
      </c>
      <c r="I251">
        <v>-117.65941801</v>
      </c>
      <c r="J251" t="s">
        <v>107</v>
      </c>
      <c r="K251" t="s">
        <v>27</v>
      </c>
      <c r="L251" s="21" t="s">
        <v>127</v>
      </c>
    </row>
    <row r="252" spans="1:12" x14ac:dyDescent="0.25">
      <c r="A252" t="s">
        <v>139</v>
      </c>
      <c r="B252" t="s">
        <v>182</v>
      </c>
      <c r="C252">
        <v>901.13</v>
      </c>
      <c r="D252" t="s">
        <v>182</v>
      </c>
      <c r="F252" t="s">
        <v>19</v>
      </c>
      <c r="G252" t="s">
        <v>150</v>
      </c>
      <c r="H252">
        <v>33.539911459999999</v>
      </c>
      <c r="I252">
        <v>-117.70417019</v>
      </c>
      <c r="J252" t="s">
        <v>107</v>
      </c>
      <c r="K252" t="s">
        <v>27</v>
      </c>
      <c r="L252" s="21" t="s">
        <v>127</v>
      </c>
    </row>
    <row r="253" spans="1:12" x14ac:dyDescent="0.25">
      <c r="A253" t="s">
        <v>138</v>
      </c>
      <c r="B253" t="s">
        <v>182</v>
      </c>
      <c r="C253">
        <v>901.13</v>
      </c>
      <c r="D253" t="s">
        <v>182</v>
      </c>
      <c r="E253" t="s">
        <v>112</v>
      </c>
      <c r="F253" t="s">
        <v>19</v>
      </c>
      <c r="G253" t="s">
        <v>151</v>
      </c>
      <c r="H253">
        <v>33.581570739999997</v>
      </c>
      <c r="I253">
        <v>-117.74572664</v>
      </c>
      <c r="J253" t="s">
        <v>107</v>
      </c>
      <c r="K253" t="s">
        <v>27</v>
      </c>
      <c r="L253" s="21" t="s">
        <v>127</v>
      </c>
    </row>
    <row r="254" spans="1:12" x14ac:dyDescent="0.25">
      <c r="A254" t="s">
        <v>136</v>
      </c>
      <c r="B254" t="s">
        <v>182</v>
      </c>
      <c r="C254">
        <v>901.13</v>
      </c>
      <c r="D254" t="s">
        <v>182</v>
      </c>
      <c r="E254" s="24" t="s">
        <v>113</v>
      </c>
      <c r="F254" t="s">
        <v>19</v>
      </c>
      <c r="G254" t="s">
        <v>152</v>
      </c>
      <c r="H254">
        <v>33.632756090000001</v>
      </c>
      <c r="I254">
        <v>-117.6769216</v>
      </c>
      <c r="J254" t="s">
        <v>107</v>
      </c>
      <c r="K254" t="s">
        <v>27</v>
      </c>
      <c r="L254" s="21" t="s">
        <v>127</v>
      </c>
    </row>
    <row r="255" spans="1:12" x14ac:dyDescent="0.25">
      <c r="A255" t="s">
        <v>136</v>
      </c>
      <c r="B255" t="s">
        <v>182</v>
      </c>
      <c r="C255">
        <v>901.13</v>
      </c>
      <c r="D255" t="s">
        <v>182</v>
      </c>
      <c r="E255" t="s">
        <v>183</v>
      </c>
      <c r="F255" t="s">
        <v>19</v>
      </c>
      <c r="G255" t="s">
        <v>153</v>
      </c>
      <c r="H255">
        <v>33.617161750000001</v>
      </c>
      <c r="I255">
        <v>-117.69366497999999</v>
      </c>
      <c r="J255" t="s">
        <v>107</v>
      </c>
      <c r="K255" t="s">
        <v>27</v>
      </c>
      <c r="L255" s="21" t="s">
        <v>127</v>
      </c>
    </row>
    <row r="256" spans="1:12" x14ac:dyDescent="0.25">
      <c r="A256" t="s">
        <v>136</v>
      </c>
      <c r="B256" t="s">
        <v>182</v>
      </c>
      <c r="C256">
        <v>901.13</v>
      </c>
      <c r="D256" t="s">
        <v>182</v>
      </c>
      <c r="E256" s="24" t="s">
        <v>113</v>
      </c>
      <c r="F256" t="s">
        <v>19</v>
      </c>
      <c r="G256" t="s">
        <v>154</v>
      </c>
      <c r="H256">
        <v>33.650866329999999</v>
      </c>
      <c r="I256">
        <v>-117.66064651000001</v>
      </c>
      <c r="J256" t="s">
        <v>107</v>
      </c>
      <c r="K256" t="s">
        <v>26</v>
      </c>
      <c r="L256" s="21" t="s">
        <v>127</v>
      </c>
    </row>
    <row r="257" spans="1:12" x14ac:dyDescent="0.25">
      <c r="A257" t="s">
        <v>139</v>
      </c>
      <c r="B257" t="s">
        <v>182</v>
      </c>
      <c r="C257">
        <v>901.13</v>
      </c>
      <c r="D257" t="s">
        <v>182</v>
      </c>
      <c r="F257" t="s">
        <v>19</v>
      </c>
      <c r="G257" t="s">
        <v>155</v>
      </c>
      <c r="H257">
        <v>33.546174399999998</v>
      </c>
      <c r="I257">
        <v>-117.70304417</v>
      </c>
      <c r="J257" t="s">
        <v>107</v>
      </c>
      <c r="K257" t="s">
        <v>27</v>
      </c>
      <c r="L257" s="21" t="s">
        <v>127</v>
      </c>
    </row>
    <row r="258" spans="1:12" x14ac:dyDescent="0.25">
      <c r="A258" t="s">
        <v>138</v>
      </c>
      <c r="B258" t="s">
        <v>182</v>
      </c>
      <c r="C258">
        <v>901.13</v>
      </c>
      <c r="D258" t="s">
        <v>182</v>
      </c>
      <c r="E258" t="s">
        <v>183</v>
      </c>
      <c r="F258" t="s">
        <v>19</v>
      </c>
      <c r="G258" t="s">
        <v>156</v>
      </c>
      <c r="H258">
        <v>33.576771720000004</v>
      </c>
      <c r="I258">
        <v>-117.71330931999999</v>
      </c>
      <c r="J258" t="s">
        <v>107</v>
      </c>
      <c r="K258" t="s">
        <v>27</v>
      </c>
      <c r="L258" s="21" t="s">
        <v>127</v>
      </c>
    </row>
    <row r="259" spans="1:12" x14ac:dyDescent="0.25">
      <c r="A259" t="s">
        <v>136</v>
      </c>
      <c r="B259" t="s">
        <v>182</v>
      </c>
      <c r="C259">
        <v>901.13</v>
      </c>
      <c r="D259" t="s">
        <v>182</v>
      </c>
      <c r="E259" t="s">
        <v>122</v>
      </c>
      <c r="F259" t="s">
        <v>19</v>
      </c>
      <c r="G259" t="s">
        <v>157</v>
      </c>
      <c r="H259">
        <v>33.66346514</v>
      </c>
      <c r="I259">
        <v>-117.65406845</v>
      </c>
      <c r="J259" t="s">
        <v>107</v>
      </c>
      <c r="K259" t="s">
        <v>27</v>
      </c>
      <c r="L259" s="21" t="s">
        <v>127</v>
      </c>
    </row>
    <row r="260" spans="1:12" x14ac:dyDescent="0.25">
      <c r="A260" t="s">
        <v>136</v>
      </c>
      <c r="B260" t="s">
        <v>182</v>
      </c>
      <c r="C260">
        <v>901.13</v>
      </c>
      <c r="D260" t="s">
        <v>182</v>
      </c>
      <c r="E260" t="s">
        <v>112</v>
      </c>
      <c r="F260" t="s">
        <v>19</v>
      </c>
      <c r="G260" t="s">
        <v>158</v>
      </c>
      <c r="H260">
        <v>33.672848090000002</v>
      </c>
      <c r="I260">
        <v>-117.63885049</v>
      </c>
      <c r="J260" t="s">
        <v>107</v>
      </c>
      <c r="K260" t="s">
        <v>27</v>
      </c>
      <c r="L260" s="21" t="s">
        <v>127</v>
      </c>
    </row>
    <row r="261" spans="1:12" x14ac:dyDescent="0.25">
      <c r="A261" t="s">
        <v>136</v>
      </c>
      <c r="B261" t="s">
        <v>182</v>
      </c>
      <c r="C261">
        <v>901.13</v>
      </c>
      <c r="D261" t="s">
        <v>182</v>
      </c>
      <c r="E261" s="24" t="s">
        <v>113</v>
      </c>
      <c r="F261" t="s">
        <v>19</v>
      </c>
      <c r="G261" t="s">
        <v>159</v>
      </c>
      <c r="H261">
        <v>33.671013539999997</v>
      </c>
      <c r="I261">
        <v>-117.62627934</v>
      </c>
      <c r="J261" t="s">
        <v>107</v>
      </c>
      <c r="K261" t="s">
        <v>27</v>
      </c>
      <c r="L261" s="21" t="s">
        <v>127</v>
      </c>
    </row>
    <row r="262" spans="1:12" x14ac:dyDescent="0.25">
      <c r="A262" t="s">
        <v>136</v>
      </c>
      <c r="B262" t="s">
        <v>182</v>
      </c>
      <c r="C262">
        <v>901.13</v>
      </c>
      <c r="D262" t="s">
        <v>182</v>
      </c>
      <c r="E262" t="s">
        <v>183</v>
      </c>
      <c r="F262" t="s">
        <v>19</v>
      </c>
      <c r="G262" t="s">
        <v>160</v>
      </c>
      <c r="H262">
        <v>33.678030999999997</v>
      </c>
      <c r="I262">
        <v>-117.623537</v>
      </c>
      <c r="J262" t="s">
        <v>107</v>
      </c>
      <c r="K262" t="s">
        <v>27</v>
      </c>
      <c r="L262" s="21" t="s">
        <v>127</v>
      </c>
    </row>
    <row r="263" spans="1:12" x14ac:dyDescent="0.25">
      <c r="A263" t="s">
        <v>139</v>
      </c>
      <c r="B263" t="s">
        <v>182</v>
      </c>
      <c r="C263">
        <v>901.13</v>
      </c>
      <c r="D263" t="s">
        <v>182</v>
      </c>
      <c r="E263" t="s">
        <v>183</v>
      </c>
      <c r="F263" t="s">
        <v>19</v>
      </c>
      <c r="G263" t="s">
        <v>161</v>
      </c>
      <c r="H263">
        <v>33.55761613</v>
      </c>
      <c r="I263">
        <v>-117.71767994</v>
      </c>
      <c r="J263" t="s">
        <v>107</v>
      </c>
      <c r="K263" t="s">
        <v>27</v>
      </c>
      <c r="L263" s="21" t="s">
        <v>127</v>
      </c>
    </row>
    <row r="264" spans="1:12" x14ac:dyDescent="0.25">
      <c r="A264" t="s">
        <v>136</v>
      </c>
      <c r="B264" t="s">
        <v>182</v>
      </c>
      <c r="C264">
        <v>901.13</v>
      </c>
      <c r="D264" t="s">
        <v>182</v>
      </c>
      <c r="E264" t="s">
        <v>183</v>
      </c>
      <c r="F264" t="s">
        <v>19</v>
      </c>
      <c r="G264" t="s">
        <v>162</v>
      </c>
      <c r="H264">
        <v>33.654533450000002</v>
      </c>
      <c r="I264">
        <v>-117.65979766</v>
      </c>
      <c r="J264" t="s">
        <v>107</v>
      </c>
      <c r="K264" t="s">
        <v>26</v>
      </c>
      <c r="L264" s="21" t="s">
        <v>127</v>
      </c>
    </row>
    <row r="265" spans="1:12" x14ac:dyDescent="0.25">
      <c r="A265" t="s">
        <v>138</v>
      </c>
      <c r="B265" t="s">
        <v>182</v>
      </c>
      <c r="C265">
        <v>901.13</v>
      </c>
      <c r="D265" t="s">
        <v>182</v>
      </c>
      <c r="E265" t="s">
        <v>122</v>
      </c>
      <c r="F265" t="s">
        <v>19</v>
      </c>
      <c r="G265" t="s">
        <v>163</v>
      </c>
      <c r="H265">
        <v>33.56256131</v>
      </c>
      <c r="I265">
        <v>-117.74339261999999</v>
      </c>
      <c r="J265" t="s">
        <v>107</v>
      </c>
      <c r="K265" t="s">
        <v>27</v>
      </c>
      <c r="L265" s="21" t="s">
        <v>127</v>
      </c>
    </row>
    <row r="266" spans="1:12" x14ac:dyDescent="0.25">
      <c r="A266" t="s">
        <v>138</v>
      </c>
      <c r="B266" t="s">
        <v>182</v>
      </c>
      <c r="C266">
        <v>901.13</v>
      </c>
      <c r="D266" t="s">
        <v>182</v>
      </c>
      <c r="E266" t="s">
        <v>112</v>
      </c>
      <c r="F266" t="s">
        <v>19</v>
      </c>
      <c r="G266" t="s">
        <v>164</v>
      </c>
      <c r="H266">
        <v>33.564566509999999</v>
      </c>
      <c r="I266">
        <v>-117.71845082999999</v>
      </c>
      <c r="J266" t="s">
        <v>107</v>
      </c>
      <c r="K266" t="s">
        <v>26</v>
      </c>
      <c r="L266" s="21" t="s">
        <v>127</v>
      </c>
    </row>
    <row r="267" spans="1:12" x14ac:dyDescent="0.25">
      <c r="A267" t="s">
        <v>138</v>
      </c>
      <c r="B267" t="s">
        <v>182</v>
      </c>
      <c r="C267">
        <v>901.13</v>
      </c>
      <c r="D267" t="s">
        <v>182</v>
      </c>
      <c r="E267" t="s">
        <v>112</v>
      </c>
      <c r="F267" t="s">
        <v>19</v>
      </c>
      <c r="G267" t="s">
        <v>165</v>
      </c>
      <c r="H267">
        <v>33.558645140000003</v>
      </c>
      <c r="I267">
        <v>-117.73782663999999</v>
      </c>
      <c r="J267" t="s">
        <v>107</v>
      </c>
      <c r="K267" t="s">
        <v>27</v>
      </c>
      <c r="L267" s="21" t="s">
        <v>127</v>
      </c>
    </row>
    <row r="268" spans="1:12" x14ac:dyDescent="0.25">
      <c r="A268" t="s">
        <v>139</v>
      </c>
      <c r="B268" t="s">
        <v>182</v>
      </c>
      <c r="C268">
        <v>901.13</v>
      </c>
      <c r="D268" t="s">
        <v>182</v>
      </c>
      <c r="E268" t="s">
        <v>183</v>
      </c>
      <c r="F268" t="s">
        <v>19</v>
      </c>
      <c r="G268" t="s">
        <v>166</v>
      </c>
      <c r="H268">
        <v>33.554893999999997</v>
      </c>
      <c r="I268">
        <v>-117.71895089</v>
      </c>
      <c r="J268" t="s">
        <v>107</v>
      </c>
      <c r="K268" t="s">
        <v>27</v>
      </c>
      <c r="L268" s="21" t="s">
        <v>127</v>
      </c>
    </row>
    <row r="269" spans="1:12" x14ac:dyDescent="0.25">
      <c r="A269" t="s">
        <v>138</v>
      </c>
      <c r="B269" t="s">
        <v>182</v>
      </c>
      <c r="C269">
        <v>901.13</v>
      </c>
      <c r="D269" t="s">
        <v>182</v>
      </c>
      <c r="E269" s="24" t="s">
        <v>113</v>
      </c>
      <c r="F269" t="s">
        <v>19</v>
      </c>
      <c r="G269" t="s">
        <v>167</v>
      </c>
      <c r="H269">
        <v>33.559105799999998</v>
      </c>
      <c r="I269">
        <v>-117.7186966</v>
      </c>
      <c r="J269" t="s">
        <v>107</v>
      </c>
      <c r="K269" t="s">
        <v>26</v>
      </c>
      <c r="L269" s="21" t="s">
        <v>127</v>
      </c>
    </row>
    <row r="270" spans="1:12" x14ac:dyDescent="0.25">
      <c r="A270" t="s">
        <v>111</v>
      </c>
      <c r="B270" t="s">
        <v>182</v>
      </c>
      <c r="C270">
        <v>901.13</v>
      </c>
      <c r="D270" t="s">
        <v>182</v>
      </c>
      <c r="E270" s="24" t="s">
        <v>113</v>
      </c>
      <c r="F270" t="s">
        <v>19</v>
      </c>
      <c r="G270" t="s">
        <v>168</v>
      </c>
      <c r="H270">
        <v>33.544339190000002</v>
      </c>
      <c r="I270">
        <v>-117.72724114</v>
      </c>
      <c r="J270" t="s">
        <v>107</v>
      </c>
      <c r="K270" t="s">
        <v>26</v>
      </c>
      <c r="L270" s="21" t="s">
        <v>127</v>
      </c>
    </row>
    <row r="271" spans="1:12" x14ac:dyDescent="0.25">
      <c r="A271" t="s">
        <v>111</v>
      </c>
      <c r="B271" t="s">
        <v>182</v>
      </c>
      <c r="C271">
        <v>901.13</v>
      </c>
      <c r="D271" t="s">
        <v>182</v>
      </c>
      <c r="E271" t="s">
        <v>183</v>
      </c>
      <c r="F271" t="s">
        <v>19</v>
      </c>
      <c r="G271" t="s">
        <v>169</v>
      </c>
      <c r="H271">
        <v>33.549854269999997</v>
      </c>
      <c r="I271">
        <v>-117.72129019</v>
      </c>
      <c r="J271" t="s">
        <v>107</v>
      </c>
      <c r="K271" t="s">
        <v>27</v>
      </c>
      <c r="L271" s="21" t="s">
        <v>127</v>
      </c>
    </row>
    <row r="272" spans="1:12" x14ac:dyDescent="0.25">
      <c r="A272" t="s">
        <v>137</v>
      </c>
      <c r="B272" t="s">
        <v>182</v>
      </c>
      <c r="C272">
        <v>901.13</v>
      </c>
      <c r="D272" t="s">
        <v>182</v>
      </c>
      <c r="E272" t="s">
        <v>183</v>
      </c>
      <c r="F272" t="s">
        <v>19</v>
      </c>
      <c r="G272" t="s">
        <v>170</v>
      </c>
      <c r="H272">
        <v>33.609340500000002</v>
      </c>
      <c r="I272">
        <v>-117.69288756</v>
      </c>
      <c r="J272" t="s">
        <v>107</v>
      </c>
      <c r="K272" t="s">
        <v>27</v>
      </c>
      <c r="L272" s="21" t="s">
        <v>127</v>
      </c>
    </row>
    <row r="273" spans="1:12" x14ac:dyDescent="0.25">
      <c r="A273" t="s">
        <v>138</v>
      </c>
      <c r="B273" t="s">
        <v>182</v>
      </c>
      <c r="C273">
        <v>901.13</v>
      </c>
      <c r="D273" t="s">
        <v>182</v>
      </c>
      <c r="E273" t="s">
        <v>183</v>
      </c>
      <c r="F273" t="s">
        <v>19</v>
      </c>
      <c r="G273" t="s">
        <v>171</v>
      </c>
      <c r="H273">
        <v>33.574713430000003</v>
      </c>
      <c r="I273">
        <v>-117.71586502</v>
      </c>
      <c r="J273" t="s">
        <v>107</v>
      </c>
      <c r="K273" t="s">
        <v>27</v>
      </c>
      <c r="L273" s="21" t="s">
        <v>127</v>
      </c>
    </row>
    <row r="274" spans="1:12" x14ac:dyDescent="0.25">
      <c r="A274" t="s">
        <v>136</v>
      </c>
      <c r="B274" t="s">
        <v>182</v>
      </c>
      <c r="C274">
        <v>901.13</v>
      </c>
      <c r="D274" t="s">
        <v>182</v>
      </c>
      <c r="E274" t="s">
        <v>183</v>
      </c>
      <c r="F274" t="s">
        <v>19</v>
      </c>
      <c r="G274" t="s">
        <v>172</v>
      </c>
      <c r="H274">
        <v>33.658091970000001</v>
      </c>
      <c r="I274">
        <v>-117.65776843</v>
      </c>
      <c r="J274" t="s">
        <v>107</v>
      </c>
      <c r="K274" t="s">
        <v>26</v>
      </c>
      <c r="L274" s="21" t="s">
        <v>127</v>
      </c>
    </row>
    <row r="275" spans="1:12" x14ac:dyDescent="0.25">
      <c r="A275" t="s">
        <v>138</v>
      </c>
      <c r="B275" t="s">
        <v>182</v>
      </c>
      <c r="C275">
        <v>901.13</v>
      </c>
      <c r="D275" t="s">
        <v>182</v>
      </c>
      <c r="E275" t="s">
        <v>183</v>
      </c>
      <c r="F275" t="s">
        <v>19</v>
      </c>
      <c r="G275" t="s">
        <v>173</v>
      </c>
      <c r="H275">
        <v>33.570908350000003</v>
      </c>
      <c r="I275">
        <v>-117.71707369000001</v>
      </c>
      <c r="J275" t="s">
        <v>107</v>
      </c>
      <c r="K275" t="s">
        <v>27</v>
      </c>
      <c r="L275" s="21" t="s">
        <v>127</v>
      </c>
    </row>
    <row r="276" spans="1:12" x14ac:dyDescent="0.25">
      <c r="A276" t="s">
        <v>139</v>
      </c>
      <c r="B276" t="s">
        <v>182</v>
      </c>
      <c r="C276">
        <v>901.13</v>
      </c>
      <c r="D276" t="s">
        <v>182</v>
      </c>
      <c r="E276" t="s">
        <v>112</v>
      </c>
      <c r="F276" t="s">
        <v>19</v>
      </c>
      <c r="G276" t="s">
        <v>174</v>
      </c>
      <c r="H276">
        <v>33.552638780000002</v>
      </c>
      <c r="I276">
        <v>-117.70882948000001</v>
      </c>
      <c r="J276" t="s">
        <v>107</v>
      </c>
      <c r="K276" t="s">
        <v>27</v>
      </c>
      <c r="L276" s="21" t="s">
        <v>127</v>
      </c>
    </row>
    <row r="277" spans="1:12" x14ac:dyDescent="0.25">
      <c r="A277" t="s">
        <v>136</v>
      </c>
      <c r="B277" t="s">
        <v>182</v>
      </c>
      <c r="C277">
        <v>901.13</v>
      </c>
      <c r="D277" t="s">
        <v>182</v>
      </c>
      <c r="E277" s="24" t="s">
        <v>113</v>
      </c>
      <c r="F277" t="s">
        <v>19</v>
      </c>
      <c r="G277" t="s">
        <v>175</v>
      </c>
      <c r="H277">
        <v>33.654460739999998</v>
      </c>
      <c r="I277">
        <v>-117.65968666000001</v>
      </c>
      <c r="J277" t="s">
        <v>107</v>
      </c>
      <c r="K277" t="s">
        <v>27</v>
      </c>
      <c r="L277" s="21" t="s">
        <v>127</v>
      </c>
    </row>
    <row r="278" spans="1:12" x14ac:dyDescent="0.25">
      <c r="A278" t="s">
        <v>136</v>
      </c>
      <c r="B278" t="s">
        <v>182</v>
      </c>
      <c r="C278">
        <v>901.13</v>
      </c>
      <c r="D278" t="s">
        <v>182</v>
      </c>
      <c r="E278" t="s">
        <v>183</v>
      </c>
      <c r="F278" t="s">
        <v>19</v>
      </c>
      <c r="G278" t="s">
        <v>176</v>
      </c>
      <c r="H278">
        <v>33.633411240000001</v>
      </c>
      <c r="I278">
        <v>-117.67690046</v>
      </c>
      <c r="J278" t="s">
        <v>107</v>
      </c>
      <c r="K278" t="s">
        <v>27</v>
      </c>
      <c r="L278" s="21" t="s">
        <v>127</v>
      </c>
    </row>
    <row r="279" spans="1:12" x14ac:dyDescent="0.25">
      <c r="A279" t="s">
        <v>140</v>
      </c>
      <c r="B279" t="s">
        <v>182</v>
      </c>
      <c r="C279">
        <v>901.13</v>
      </c>
      <c r="D279" t="s">
        <v>182</v>
      </c>
      <c r="E279" s="24" t="s">
        <v>113</v>
      </c>
      <c r="F279" t="s">
        <v>19</v>
      </c>
      <c r="G279" t="s">
        <v>177</v>
      </c>
      <c r="H279">
        <v>33.599891710000001</v>
      </c>
      <c r="I279">
        <v>-117.70736544</v>
      </c>
      <c r="J279" t="s">
        <v>107</v>
      </c>
      <c r="K279" t="s">
        <v>27</v>
      </c>
      <c r="L279" s="21" t="s">
        <v>127</v>
      </c>
    </row>
    <row r="280" spans="1:12" x14ac:dyDescent="0.25">
      <c r="A280" t="s">
        <v>136</v>
      </c>
      <c r="B280" t="s">
        <v>182</v>
      </c>
      <c r="C280">
        <v>901.13</v>
      </c>
      <c r="D280" t="s">
        <v>182</v>
      </c>
      <c r="E280" s="24" t="s">
        <v>113</v>
      </c>
      <c r="F280" t="s">
        <v>19</v>
      </c>
      <c r="G280" t="s">
        <v>178</v>
      </c>
      <c r="H280">
        <v>33.660018149999999</v>
      </c>
      <c r="I280">
        <v>-117.65341103999999</v>
      </c>
      <c r="J280" t="s">
        <v>107</v>
      </c>
      <c r="K280" t="s">
        <v>26</v>
      </c>
      <c r="L280" s="21" t="s">
        <v>127</v>
      </c>
    </row>
    <row r="281" spans="1:12" x14ac:dyDescent="0.25">
      <c r="A281" t="s">
        <v>137</v>
      </c>
      <c r="B281" t="s">
        <v>182</v>
      </c>
      <c r="C281">
        <v>901.13</v>
      </c>
      <c r="D281" t="s">
        <v>182</v>
      </c>
      <c r="E281" s="24" t="s">
        <v>113</v>
      </c>
      <c r="F281" t="s">
        <v>19</v>
      </c>
      <c r="G281" t="s">
        <v>179</v>
      </c>
      <c r="H281">
        <v>33.669217930000002</v>
      </c>
      <c r="I281">
        <v>-117.62696237999999</v>
      </c>
      <c r="J281" t="s">
        <v>107</v>
      </c>
      <c r="K281" t="s">
        <v>114</v>
      </c>
      <c r="L281" s="21" t="s">
        <v>127</v>
      </c>
    </row>
    <row r="282" spans="1:12" x14ac:dyDescent="0.25">
      <c r="A282" t="s">
        <v>136</v>
      </c>
      <c r="B282" t="s">
        <v>182</v>
      </c>
      <c r="C282">
        <v>901.13</v>
      </c>
      <c r="D282" t="s">
        <v>182</v>
      </c>
      <c r="E282" t="s">
        <v>183</v>
      </c>
      <c r="F282" t="s">
        <v>19</v>
      </c>
      <c r="G282" t="s">
        <v>180</v>
      </c>
      <c r="H282">
        <v>33.644122510000003</v>
      </c>
      <c r="I282">
        <v>-117.66581629</v>
      </c>
      <c r="J282" t="s">
        <v>107</v>
      </c>
      <c r="K282" t="s">
        <v>26</v>
      </c>
      <c r="L282" s="21" t="s">
        <v>127</v>
      </c>
    </row>
    <row r="283" spans="1:12" x14ac:dyDescent="0.25">
      <c r="A283" t="s">
        <v>139</v>
      </c>
      <c r="B283" t="s">
        <v>182</v>
      </c>
      <c r="C283">
        <v>901.13</v>
      </c>
      <c r="D283" t="s">
        <v>182</v>
      </c>
      <c r="E283" t="s">
        <v>183</v>
      </c>
      <c r="F283" t="s">
        <v>19</v>
      </c>
      <c r="G283" t="s">
        <v>181</v>
      </c>
      <c r="H283">
        <v>33.556482010000003</v>
      </c>
      <c r="I283">
        <v>-117.71779825</v>
      </c>
      <c r="J283" t="s">
        <v>107</v>
      </c>
      <c r="K283" t="s">
        <v>27</v>
      </c>
      <c r="L283" s="21" t="s">
        <v>127</v>
      </c>
    </row>
    <row r="284" spans="1:12" x14ac:dyDescent="0.25">
      <c r="A284" t="s">
        <v>139</v>
      </c>
      <c r="B284" t="s">
        <v>182</v>
      </c>
      <c r="C284">
        <v>901.13</v>
      </c>
      <c r="D284" t="s">
        <v>182</v>
      </c>
      <c r="E284" t="s">
        <v>112</v>
      </c>
      <c r="F284" t="s">
        <v>19</v>
      </c>
      <c r="G284" t="s">
        <v>255</v>
      </c>
      <c r="H284">
        <v>33.549947000000003</v>
      </c>
      <c r="I284">
        <v>-117.71717099999999</v>
      </c>
      <c r="J284" t="s">
        <v>116</v>
      </c>
      <c r="K284" t="s">
        <v>27</v>
      </c>
      <c r="L284" s="21" t="s">
        <v>127</v>
      </c>
    </row>
    <row r="285" spans="1:12" x14ac:dyDescent="0.25">
      <c r="A285" t="s">
        <v>139</v>
      </c>
      <c r="B285" t="s">
        <v>182</v>
      </c>
      <c r="C285">
        <v>901.13</v>
      </c>
      <c r="D285" t="s">
        <v>182</v>
      </c>
      <c r="E285" t="s">
        <v>112</v>
      </c>
      <c r="F285" t="s">
        <v>19</v>
      </c>
      <c r="G285" t="s">
        <v>255</v>
      </c>
      <c r="H285">
        <v>33.549947000000003</v>
      </c>
      <c r="I285">
        <v>-117.71717099999999</v>
      </c>
      <c r="J285" t="s">
        <v>115</v>
      </c>
      <c r="K285" t="s">
        <v>27</v>
      </c>
      <c r="L285" s="21" t="s">
        <v>127</v>
      </c>
    </row>
    <row r="286" spans="1:12" x14ac:dyDescent="0.25">
      <c r="A286" t="s">
        <v>139</v>
      </c>
      <c r="B286" t="s">
        <v>182</v>
      </c>
      <c r="C286">
        <v>901.13</v>
      </c>
      <c r="D286" t="s">
        <v>182</v>
      </c>
      <c r="E286" t="s">
        <v>112</v>
      </c>
      <c r="F286" t="s">
        <v>19</v>
      </c>
      <c r="G286" t="s">
        <v>255</v>
      </c>
      <c r="H286">
        <v>33.549947000000003</v>
      </c>
      <c r="I286">
        <v>-117.71717099999999</v>
      </c>
      <c r="J286" t="s">
        <v>107</v>
      </c>
      <c r="K286" t="s">
        <v>27</v>
      </c>
      <c r="L286" s="21" t="s">
        <v>127</v>
      </c>
    </row>
  </sheetData>
  <autoFilter ref="A1:M283" xr:uid="{F578BF5B-6B03-4B9E-8770-AA482985E6B8}"/>
  <sortState xmlns:xlrd2="http://schemas.microsoft.com/office/spreadsheetml/2017/richdata2" ref="A2:L142">
    <sortCondition ref="G2:G14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AF9F-C74F-4384-ABD9-9EF1FCA9AC11}">
  <sheetPr>
    <tabColor theme="7" tint="0.79998168889431442"/>
  </sheetPr>
  <dimension ref="A1:XDH649"/>
  <sheetViews>
    <sheetView topLeftCell="A484" zoomScaleNormal="100" workbookViewId="0">
      <selection activeCell="K1" sqref="K1"/>
    </sheetView>
  </sheetViews>
  <sheetFormatPr defaultColWidth="8.7109375" defaultRowHeight="12.75" x14ac:dyDescent="0.2"/>
  <cols>
    <col min="1" max="1" width="18.7109375" style="8" customWidth="1"/>
    <col min="2" max="2" width="17.7109375" style="8" customWidth="1"/>
    <col min="3" max="4" width="11.42578125" style="8" customWidth="1"/>
    <col min="5" max="5" width="8.7109375" style="10"/>
    <col min="6" max="6" width="17.42578125" style="8" customWidth="1"/>
    <col min="7" max="7" width="12.140625" style="8" customWidth="1"/>
    <col min="8" max="8" width="10.85546875" style="8" customWidth="1"/>
    <col min="9" max="9" width="13.5703125" style="9" customWidth="1"/>
    <col min="10" max="10" width="17.7109375" style="8" customWidth="1"/>
    <col min="11" max="11" width="38.140625" style="8" customWidth="1"/>
    <col min="12" max="12" width="11.5703125" style="23" customWidth="1"/>
    <col min="13" max="13" width="12.7109375" style="8" customWidth="1"/>
    <col min="14" max="14" width="14.85546875" style="8" customWidth="1"/>
    <col min="15" max="15" width="33.7109375" style="8" customWidth="1"/>
    <col min="16" max="16384" width="8.7109375" style="8"/>
  </cols>
  <sheetData>
    <row r="1" spans="1:16336" ht="38.25" x14ac:dyDescent="0.2">
      <c r="A1" s="1" t="s">
        <v>0</v>
      </c>
      <c r="B1" s="1" t="s">
        <v>1</v>
      </c>
      <c r="C1" s="2" t="s">
        <v>2</v>
      </c>
      <c r="D1" s="2" t="s">
        <v>32</v>
      </c>
      <c r="E1" s="6" t="s">
        <v>12</v>
      </c>
      <c r="F1" s="1" t="s">
        <v>3</v>
      </c>
      <c r="G1" s="1" t="s">
        <v>4</v>
      </c>
      <c r="H1" s="1" t="s">
        <v>11</v>
      </c>
      <c r="I1" s="3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49</v>
      </c>
      <c r="O1" s="1" t="s">
        <v>10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</row>
    <row r="2" spans="1:16336" ht="15" x14ac:dyDescent="0.25">
      <c r="A2" t="s">
        <v>111</v>
      </c>
      <c r="B2" t="s">
        <v>108</v>
      </c>
      <c r="C2">
        <v>901.27</v>
      </c>
      <c r="F2" t="s">
        <v>19</v>
      </c>
      <c r="G2" t="s">
        <v>76</v>
      </c>
      <c r="H2" s="8" t="s">
        <v>116</v>
      </c>
      <c r="I2" s="5">
        <v>44299</v>
      </c>
      <c r="J2" t="s">
        <v>114</v>
      </c>
      <c r="K2" t="s">
        <v>113</v>
      </c>
      <c r="L2" s="22" t="s">
        <v>58</v>
      </c>
      <c r="M2" s="8" t="s">
        <v>124</v>
      </c>
      <c r="N2" s="21" t="s">
        <v>127</v>
      </c>
    </row>
    <row r="3" spans="1:16336" ht="15" x14ac:dyDescent="0.25">
      <c r="A3" t="s">
        <v>111</v>
      </c>
      <c r="B3" t="s">
        <v>108</v>
      </c>
      <c r="C3">
        <v>901.27</v>
      </c>
      <c r="F3" t="s">
        <v>19</v>
      </c>
      <c r="G3" t="s">
        <v>105</v>
      </c>
      <c r="H3" s="8" t="s">
        <v>116</v>
      </c>
      <c r="I3" s="5">
        <v>44299</v>
      </c>
      <c r="J3" t="s">
        <v>23</v>
      </c>
      <c r="K3" t="s">
        <v>112</v>
      </c>
      <c r="L3" s="22">
        <v>1.6000000000000001E-3</v>
      </c>
      <c r="M3" s="8" t="s">
        <v>124</v>
      </c>
      <c r="N3" s="21" t="s">
        <v>127</v>
      </c>
      <c r="O3" s="8" t="s">
        <v>126</v>
      </c>
    </row>
    <row r="4" spans="1:16336" ht="15" x14ac:dyDescent="0.25">
      <c r="A4" t="s">
        <v>111</v>
      </c>
      <c r="B4" t="s">
        <v>108</v>
      </c>
      <c r="C4">
        <v>901.27</v>
      </c>
      <c r="F4" t="s">
        <v>19</v>
      </c>
      <c r="G4" t="s">
        <v>76</v>
      </c>
      <c r="H4" s="8" t="s">
        <v>116</v>
      </c>
      <c r="I4" s="5">
        <v>44315</v>
      </c>
      <c r="J4" t="s">
        <v>114</v>
      </c>
      <c r="K4" t="s">
        <v>113</v>
      </c>
      <c r="L4" s="22" t="s">
        <v>58</v>
      </c>
      <c r="M4" s="8" t="s">
        <v>124</v>
      </c>
      <c r="N4" s="21" t="s">
        <v>127</v>
      </c>
    </row>
    <row r="5" spans="1:16336" ht="15" x14ac:dyDescent="0.25">
      <c r="A5" t="s">
        <v>111</v>
      </c>
      <c r="B5" t="s">
        <v>108</v>
      </c>
      <c r="C5">
        <v>901.27</v>
      </c>
      <c r="F5" t="s">
        <v>19</v>
      </c>
      <c r="G5" t="s">
        <v>87</v>
      </c>
      <c r="H5" s="8" t="s">
        <v>116</v>
      </c>
      <c r="I5" s="5">
        <v>44315</v>
      </c>
      <c r="J5" t="s">
        <v>23</v>
      </c>
      <c r="K5" t="s">
        <v>112</v>
      </c>
      <c r="L5" s="22">
        <v>2.64E-3</v>
      </c>
      <c r="M5" s="8" t="s">
        <v>124</v>
      </c>
      <c r="N5" s="21" t="s">
        <v>127</v>
      </c>
      <c r="O5" s="8" t="s">
        <v>126</v>
      </c>
    </row>
    <row r="6" spans="1:16336" ht="15" x14ac:dyDescent="0.25">
      <c r="A6" t="s">
        <v>111</v>
      </c>
      <c r="B6" t="s">
        <v>108</v>
      </c>
      <c r="C6">
        <v>901.27</v>
      </c>
      <c r="F6" t="s">
        <v>19</v>
      </c>
      <c r="G6" t="s">
        <v>87</v>
      </c>
      <c r="H6" s="8" t="s">
        <v>116</v>
      </c>
      <c r="I6" s="5">
        <v>44315</v>
      </c>
      <c r="J6" t="s">
        <v>23</v>
      </c>
      <c r="K6" t="s">
        <v>112</v>
      </c>
      <c r="L6" s="22">
        <v>2.64E-3</v>
      </c>
      <c r="M6" s="8" t="s">
        <v>124</v>
      </c>
      <c r="N6" s="21" t="s">
        <v>127</v>
      </c>
      <c r="O6" s="8" t="s">
        <v>126</v>
      </c>
    </row>
    <row r="7" spans="1:16336" ht="15" x14ac:dyDescent="0.25">
      <c r="A7" t="s">
        <v>111</v>
      </c>
      <c r="B7" t="s">
        <v>108</v>
      </c>
      <c r="C7">
        <v>901.27</v>
      </c>
      <c r="F7" t="s">
        <v>19</v>
      </c>
      <c r="G7" t="s">
        <v>105</v>
      </c>
      <c r="H7" s="8" t="s">
        <v>116</v>
      </c>
      <c r="I7" s="5">
        <v>44315</v>
      </c>
      <c r="J7" t="s">
        <v>23</v>
      </c>
      <c r="K7" t="s">
        <v>113</v>
      </c>
      <c r="L7" s="22">
        <v>4.0000000000000002E-4</v>
      </c>
      <c r="M7" s="8" t="s">
        <v>124</v>
      </c>
      <c r="N7" s="21" t="s">
        <v>127</v>
      </c>
      <c r="O7" s="8" t="s">
        <v>126</v>
      </c>
    </row>
    <row r="8" spans="1:16336" ht="15" x14ac:dyDescent="0.25">
      <c r="A8" t="s">
        <v>111</v>
      </c>
      <c r="B8" t="s">
        <v>108</v>
      </c>
      <c r="C8">
        <v>901.27</v>
      </c>
      <c r="F8" t="s">
        <v>19</v>
      </c>
      <c r="G8" t="s">
        <v>64</v>
      </c>
      <c r="H8" s="8" t="s">
        <v>116</v>
      </c>
      <c r="I8" s="5">
        <v>44319</v>
      </c>
      <c r="J8" t="s">
        <v>23</v>
      </c>
      <c r="K8" t="s">
        <v>121</v>
      </c>
      <c r="L8" s="22">
        <v>3.5999999999999997E-2</v>
      </c>
      <c r="M8" s="8" t="s">
        <v>124</v>
      </c>
      <c r="N8" s="21" t="s">
        <v>127</v>
      </c>
      <c r="O8" s="8" t="s">
        <v>126</v>
      </c>
    </row>
    <row r="9" spans="1:16336" ht="15" x14ac:dyDescent="0.25">
      <c r="A9" t="s">
        <v>111</v>
      </c>
      <c r="B9" t="s">
        <v>108</v>
      </c>
      <c r="C9">
        <v>901.27</v>
      </c>
      <c r="F9" t="s">
        <v>19</v>
      </c>
      <c r="G9" t="s">
        <v>79</v>
      </c>
      <c r="H9" s="8" t="s">
        <v>116</v>
      </c>
      <c r="I9" s="5">
        <v>44319</v>
      </c>
      <c r="J9" t="s">
        <v>114</v>
      </c>
      <c r="K9" t="s">
        <v>113</v>
      </c>
      <c r="L9" s="22" t="s">
        <v>58</v>
      </c>
      <c r="M9" s="8" t="s">
        <v>124</v>
      </c>
      <c r="N9" s="21" t="s">
        <v>127</v>
      </c>
    </row>
    <row r="10" spans="1:16336" ht="15" x14ac:dyDescent="0.25">
      <c r="A10" t="s">
        <v>111</v>
      </c>
      <c r="B10" t="s">
        <v>108</v>
      </c>
      <c r="C10">
        <v>901.27</v>
      </c>
      <c r="F10" t="s">
        <v>19</v>
      </c>
      <c r="G10" t="s">
        <v>80</v>
      </c>
      <c r="H10" s="8" t="s">
        <v>116</v>
      </c>
      <c r="I10" s="5">
        <v>44319</v>
      </c>
      <c r="J10" t="s">
        <v>23</v>
      </c>
      <c r="K10" t="s">
        <v>121</v>
      </c>
      <c r="L10" s="22">
        <v>0.112</v>
      </c>
      <c r="M10" s="8" t="s">
        <v>124</v>
      </c>
      <c r="N10" s="21" t="s">
        <v>127</v>
      </c>
      <c r="O10" s="8" t="s">
        <v>126</v>
      </c>
    </row>
    <row r="11" spans="1:16336" ht="15" x14ac:dyDescent="0.25">
      <c r="A11" t="s">
        <v>111</v>
      </c>
      <c r="B11" t="s">
        <v>108</v>
      </c>
      <c r="C11">
        <v>901.27</v>
      </c>
      <c r="F11" t="s">
        <v>19</v>
      </c>
      <c r="G11" t="s">
        <v>85</v>
      </c>
      <c r="H11" s="8" t="s">
        <v>116</v>
      </c>
      <c r="I11" s="5">
        <v>44319</v>
      </c>
      <c r="J11" t="s">
        <v>119</v>
      </c>
      <c r="K11" t="s">
        <v>121</v>
      </c>
      <c r="L11" s="22">
        <v>5.7142999999999999E-2</v>
      </c>
      <c r="M11" s="8" t="s">
        <v>124</v>
      </c>
      <c r="N11" s="21" t="s">
        <v>127</v>
      </c>
      <c r="O11" s="8" t="s">
        <v>126</v>
      </c>
    </row>
    <row r="12" spans="1:16336" ht="15" x14ac:dyDescent="0.25">
      <c r="A12" t="s">
        <v>111</v>
      </c>
      <c r="B12" t="s">
        <v>108</v>
      </c>
      <c r="C12">
        <v>901.27</v>
      </c>
      <c r="F12" t="s">
        <v>19</v>
      </c>
      <c r="G12" t="s">
        <v>102</v>
      </c>
      <c r="H12" s="8" t="s">
        <v>116</v>
      </c>
      <c r="I12" s="5">
        <v>44319</v>
      </c>
      <c r="J12" t="s">
        <v>114</v>
      </c>
      <c r="K12" t="s">
        <v>113</v>
      </c>
      <c r="L12" s="22" t="s">
        <v>58</v>
      </c>
      <c r="M12" s="8" t="s">
        <v>124</v>
      </c>
      <c r="N12" s="21" t="s">
        <v>127</v>
      </c>
    </row>
    <row r="13" spans="1:16336" ht="15" x14ac:dyDescent="0.25">
      <c r="A13" t="s">
        <v>111</v>
      </c>
      <c r="B13" t="s">
        <v>108</v>
      </c>
      <c r="C13">
        <v>901.27</v>
      </c>
      <c r="F13" t="s">
        <v>19</v>
      </c>
      <c r="G13" t="s">
        <v>103</v>
      </c>
      <c r="H13" s="8" t="s">
        <v>116</v>
      </c>
      <c r="I13" s="5">
        <v>44319</v>
      </c>
      <c r="J13" t="s">
        <v>119</v>
      </c>
      <c r="K13" t="s">
        <v>113</v>
      </c>
      <c r="L13" s="22" t="s">
        <v>58</v>
      </c>
      <c r="M13" s="8" t="s">
        <v>124</v>
      </c>
      <c r="N13" s="21" t="s">
        <v>127</v>
      </c>
    </row>
    <row r="14" spans="1:16336" ht="15" x14ac:dyDescent="0.25">
      <c r="A14" t="s">
        <v>109</v>
      </c>
      <c r="B14" t="s">
        <v>108</v>
      </c>
      <c r="C14">
        <v>901.27</v>
      </c>
      <c r="D14"/>
      <c r="F14" t="s">
        <v>19</v>
      </c>
      <c r="G14" t="s">
        <v>60</v>
      </c>
      <c r="H14" s="8" t="s">
        <v>116</v>
      </c>
      <c r="I14" s="5">
        <v>44334</v>
      </c>
      <c r="J14" t="s">
        <v>23</v>
      </c>
      <c r="K14" t="s">
        <v>112</v>
      </c>
      <c r="L14" s="22" t="s">
        <v>58</v>
      </c>
      <c r="M14" s="8" t="s">
        <v>124</v>
      </c>
      <c r="N14" s="21" t="s">
        <v>127</v>
      </c>
    </row>
    <row r="15" spans="1:16336" ht="15" x14ac:dyDescent="0.25">
      <c r="A15" t="s">
        <v>109</v>
      </c>
      <c r="B15" t="s">
        <v>108</v>
      </c>
      <c r="C15">
        <v>901.27</v>
      </c>
      <c r="F15" t="s">
        <v>19</v>
      </c>
      <c r="G15" t="s">
        <v>63</v>
      </c>
      <c r="H15" s="8" t="s">
        <v>116</v>
      </c>
      <c r="I15" s="5">
        <v>44334</v>
      </c>
      <c r="J15" t="s">
        <v>114</v>
      </c>
      <c r="K15" t="s">
        <v>113</v>
      </c>
      <c r="L15" s="22" t="s">
        <v>58</v>
      </c>
      <c r="M15" s="8" t="s">
        <v>124</v>
      </c>
      <c r="N15" s="21" t="s">
        <v>127</v>
      </c>
    </row>
    <row r="16" spans="1:16336" ht="15" x14ac:dyDescent="0.25">
      <c r="A16" t="s">
        <v>109</v>
      </c>
      <c r="B16" t="s">
        <v>108</v>
      </c>
      <c r="C16">
        <v>901.27</v>
      </c>
      <c r="F16" t="s">
        <v>19</v>
      </c>
      <c r="G16" t="s">
        <v>65</v>
      </c>
      <c r="H16" s="8" t="s">
        <v>116</v>
      </c>
      <c r="I16" s="5">
        <v>44334</v>
      </c>
      <c r="J16" t="s">
        <v>114</v>
      </c>
      <c r="K16" t="s">
        <v>113</v>
      </c>
      <c r="L16" s="22" t="s">
        <v>58</v>
      </c>
      <c r="M16" s="8" t="s">
        <v>124</v>
      </c>
      <c r="N16" s="21" t="s">
        <v>127</v>
      </c>
    </row>
    <row r="17" spans="1:15" ht="15" x14ac:dyDescent="0.25">
      <c r="A17" t="s">
        <v>109</v>
      </c>
      <c r="B17" t="s">
        <v>108</v>
      </c>
      <c r="C17">
        <v>901.27</v>
      </c>
      <c r="F17" t="s">
        <v>19</v>
      </c>
      <c r="G17" t="s">
        <v>66</v>
      </c>
      <c r="H17" s="8" t="s">
        <v>116</v>
      </c>
      <c r="I17" s="5">
        <v>44334</v>
      </c>
      <c r="J17" t="s">
        <v>114</v>
      </c>
      <c r="K17" t="s">
        <v>113</v>
      </c>
      <c r="L17" s="22" t="s">
        <v>58</v>
      </c>
      <c r="M17" s="8" t="s">
        <v>124</v>
      </c>
      <c r="N17" s="21" t="s">
        <v>127</v>
      </c>
    </row>
    <row r="18" spans="1:15" ht="15" x14ac:dyDescent="0.25">
      <c r="A18" t="s">
        <v>109</v>
      </c>
      <c r="B18" t="s">
        <v>108</v>
      </c>
      <c r="C18">
        <v>901.27</v>
      </c>
      <c r="F18" t="s">
        <v>19</v>
      </c>
      <c r="G18" t="s">
        <v>67</v>
      </c>
      <c r="H18" s="8" t="s">
        <v>116</v>
      </c>
      <c r="I18" s="5">
        <v>44334</v>
      </c>
      <c r="J18" t="s">
        <v>23</v>
      </c>
      <c r="K18" t="s">
        <v>121</v>
      </c>
      <c r="L18" s="22" t="s">
        <v>58</v>
      </c>
      <c r="M18" s="8" t="s">
        <v>124</v>
      </c>
      <c r="N18" s="21" t="s">
        <v>127</v>
      </c>
    </row>
    <row r="19" spans="1:15" ht="15" x14ac:dyDescent="0.25">
      <c r="A19" t="s">
        <v>109</v>
      </c>
      <c r="B19" t="s">
        <v>108</v>
      </c>
      <c r="C19">
        <v>901.27</v>
      </c>
      <c r="F19" t="s">
        <v>19</v>
      </c>
      <c r="G19" t="s">
        <v>68</v>
      </c>
      <c r="H19" s="8" t="s">
        <v>116</v>
      </c>
      <c r="I19" s="5">
        <v>44334</v>
      </c>
      <c r="J19" t="s">
        <v>23</v>
      </c>
      <c r="K19" t="s">
        <v>121</v>
      </c>
      <c r="L19" s="22">
        <v>1.5043000000000001E-2</v>
      </c>
      <c r="M19" s="8" t="s">
        <v>124</v>
      </c>
      <c r="N19" s="21" t="s">
        <v>127</v>
      </c>
      <c r="O19" s="8" t="s">
        <v>126</v>
      </c>
    </row>
    <row r="20" spans="1:15" ht="15" x14ac:dyDescent="0.25">
      <c r="A20" t="s">
        <v>109</v>
      </c>
      <c r="B20" t="s">
        <v>108</v>
      </c>
      <c r="C20">
        <v>901.27</v>
      </c>
      <c r="F20" t="s">
        <v>19</v>
      </c>
      <c r="G20" t="s">
        <v>70</v>
      </c>
      <c r="H20" s="8" t="s">
        <v>116</v>
      </c>
      <c r="I20" s="5">
        <v>44334</v>
      </c>
      <c r="J20" t="s">
        <v>114</v>
      </c>
      <c r="K20" t="s">
        <v>113</v>
      </c>
      <c r="L20" s="22" t="s">
        <v>58</v>
      </c>
      <c r="M20" s="8" t="s">
        <v>124</v>
      </c>
      <c r="N20" s="21" t="s">
        <v>127</v>
      </c>
    </row>
    <row r="21" spans="1:15" ht="15" x14ac:dyDescent="0.25">
      <c r="A21" t="s">
        <v>109</v>
      </c>
      <c r="B21" t="s">
        <v>108</v>
      </c>
      <c r="C21">
        <v>901.27</v>
      </c>
      <c r="F21" t="s">
        <v>19</v>
      </c>
      <c r="G21" t="s">
        <v>70</v>
      </c>
      <c r="H21" s="8" t="s">
        <v>116</v>
      </c>
      <c r="I21" s="5">
        <v>44334</v>
      </c>
      <c r="J21" t="s">
        <v>114</v>
      </c>
      <c r="K21" t="s">
        <v>113</v>
      </c>
      <c r="L21" s="22" t="s">
        <v>58</v>
      </c>
      <c r="M21" s="8" t="s">
        <v>124</v>
      </c>
      <c r="N21" s="21" t="s">
        <v>127</v>
      </c>
    </row>
    <row r="22" spans="1:15" ht="15" x14ac:dyDescent="0.25">
      <c r="A22" t="s">
        <v>109</v>
      </c>
      <c r="B22" t="s">
        <v>108</v>
      </c>
      <c r="C22">
        <v>901.27</v>
      </c>
      <c r="F22" t="s">
        <v>19</v>
      </c>
      <c r="G22" t="s">
        <v>73</v>
      </c>
      <c r="H22" s="8" t="s">
        <v>116</v>
      </c>
      <c r="I22" s="5">
        <v>44334</v>
      </c>
      <c r="J22" t="s">
        <v>119</v>
      </c>
      <c r="K22" t="s">
        <v>113</v>
      </c>
      <c r="L22" s="22" t="s">
        <v>58</v>
      </c>
      <c r="M22" s="8" t="s">
        <v>124</v>
      </c>
      <c r="N22" s="21" t="s">
        <v>127</v>
      </c>
    </row>
    <row r="23" spans="1:15" ht="15" x14ac:dyDescent="0.25">
      <c r="A23" t="s">
        <v>109</v>
      </c>
      <c r="B23" t="s">
        <v>108</v>
      </c>
      <c r="C23">
        <v>901.27</v>
      </c>
      <c r="F23" t="s">
        <v>19</v>
      </c>
      <c r="G23" t="s">
        <v>74</v>
      </c>
      <c r="H23" s="8" t="s">
        <v>116</v>
      </c>
      <c r="I23" s="5">
        <v>44334</v>
      </c>
      <c r="J23" t="s">
        <v>120</v>
      </c>
      <c r="K23" t="s">
        <v>122</v>
      </c>
      <c r="L23" s="22" t="s">
        <v>58</v>
      </c>
      <c r="M23" s="8" t="s">
        <v>124</v>
      </c>
      <c r="N23" s="21" t="s">
        <v>127</v>
      </c>
    </row>
    <row r="24" spans="1:15" ht="15" x14ac:dyDescent="0.25">
      <c r="A24" t="s">
        <v>109</v>
      </c>
      <c r="B24" t="s">
        <v>108</v>
      </c>
      <c r="C24">
        <v>901.27</v>
      </c>
      <c r="F24" t="s">
        <v>19</v>
      </c>
      <c r="G24" t="s">
        <v>75</v>
      </c>
      <c r="H24" s="8" t="s">
        <v>116</v>
      </c>
      <c r="I24" s="5">
        <v>44334</v>
      </c>
      <c r="J24" t="s">
        <v>119</v>
      </c>
      <c r="K24" t="s">
        <v>112</v>
      </c>
      <c r="L24" s="22" t="s">
        <v>58</v>
      </c>
      <c r="M24" s="8" t="s">
        <v>124</v>
      </c>
      <c r="N24" s="21" t="s">
        <v>127</v>
      </c>
    </row>
    <row r="25" spans="1:15" ht="15" x14ac:dyDescent="0.25">
      <c r="A25" t="s">
        <v>109</v>
      </c>
      <c r="B25" t="s">
        <v>108</v>
      </c>
      <c r="C25">
        <v>901.27</v>
      </c>
      <c r="F25" t="s">
        <v>19</v>
      </c>
      <c r="G25" t="s">
        <v>78</v>
      </c>
      <c r="H25" s="8" t="s">
        <v>116</v>
      </c>
      <c r="I25" s="5">
        <v>44334</v>
      </c>
      <c r="J25" t="s">
        <v>23</v>
      </c>
      <c r="K25" t="s">
        <v>121</v>
      </c>
      <c r="L25" s="22" t="s">
        <v>58</v>
      </c>
      <c r="M25" s="8" t="s">
        <v>124</v>
      </c>
      <c r="N25" s="21" t="s">
        <v>127</v>
      </c>
    </row>
    <row r="26" spans="1:15" ht="15" x14ac:dyDescent="0.25">
      <c r="A26" t="s">
        <v>109</v>
      </c>
      <c r="B26" t="s">
        <v>108</v>
      </c>
      <c r="C26">
        <v>901.27</v>
      </c>
      <c r="F26" t="s">
        <v>19</v>
      </c>
      <c r="G26" t="s">
        <v>82</v>
      </c>
      <c r="H26" s="8" t="s">
        <v>116</v>
      </c>
      <c r="I26" s="5">
        <v>44334</v>
      </c>
      <c r="J26" t="s">
        <v>23</v>
      </c>
      <c r="K26" t="s">
        <v>121</v>
      </c>
      <c r="L26" s="22" t="s">
        <v>58</v>
      </c>
      <c r="M26" s="8" t="s">
        <v>124</v>
      </c>
      <c r="N26" s="21" t="s">
        <v>127</v>
      </c>
    </row>
    <row r="27" spans="1:15" ht="15" x14ac:dyDescent="0.25">
      <c r="A27" t="s">
        <v>109</v>
      </c>
      <c r="B27" t="s">
        <v>108</v>
      </c>
      <c r="C27">
        <v>901.27</v>
      </c>
      <c r="F27" t="s">
        <v>19</v>
      </c>
      <c r="G27" t="s">
        <v>89</v>
      </c>
      <c r="H27" s="8" t="s">
        <v>116</v>
      </c>
      <c r="I27" s="5">
        <v>44334</v>
      </c>
      <c r="J27" t="s">
        <v>114</v>
      </c>
      <c r="K27" t="s">
        <v>113</v>
      </c>
      <c r="L27" s="22" t="s">
        <v>58</v>
      </c>
      <c r="M27" s="8" t="s">
        <v>124</v>
      </c>
      <c r="N27" s="21" t="s">
        <v>127</v>
      </c>
    </row>
    <row r="28" spans="1:15" ht="15" x14ac:dyDescent="0.25">
      <c r="A28" t="s">
        <v>109</v>
      </c>
      <c r="B28" t="s">
        <v>108</v>
      </c>
      <c r="C28">
        <v>901.27</v>
      </c>
      <c r="F28" t="s">
        <v>19</v>
      </c>
      <c r="G28" t="s">
        <v>90</v>
      </c>
      <c r="H28" s="8" t="s">
        <v>116</v>
      </c>
      <c r="I28" s="5">
        <v>44334</v>
      </c>
      <c r="J28" t="s">
        <v>119</v>
      </c>
      <c r="K28" t="s">
        <v>113</v>
      </c>
      <c r="L28" s="22" t="s">
        <v>58</v>
      </c>
      <c r="M28" s="8" t="s">
        <v>124</v>
      </c>
      <c r="N28" s="21" t="s">
        <v>127</v>
      </c>
    </row>
    <row r="29" spans="1:15" ht="15" x14ac:dyDescent="0.25">
      <c r="A29" t="s">
        <v>109</v>
      </c>
      <c r="B29" t="s">
        <v>108</v>
      </c>
      <c r="C29">
        <v>901.27</v>
      </c>
      <c r="F29" t="s">
        <v>19</v>
      </c>
      <c r="G29" t="s">
        <v>92</v>
      </c>
      <c r="H29" s="8" t="s">
        <v>116</v>
      </c>
      <c r="I29" s="5">
        <v>44334</v>
      </c>
      <c r="J29" t="s">
        <v>119</v>
      </c>
      <c r="K29" t="s">
        <v>112</v>
      </c>
      <c r="L29" s="22" t="s">
        <v>58</v>
      </c>
      <c r="M29" s="8" t="s">
        <v>124</v>
      </c>
      <c r="N29" s="21" t="s">
        <v>127</v>
      </c>
    </row>
    <row r="30" spans="1:15" ht="15" x14ac:dyDescent="0.25">
      <c r="A30" t="s">
        <v>109</v>
      </c>
      <c r="B30" t="s">
        <v>108</v>
      </c>
      <c r="C30">
        <v>901.27</v>
      </c>
      <c r="F30" t="s">
        <v>19</v>
      </c>
      <c r="G30" t="s">
        <v>93</v>
      </c>
      <c r="H30" s="8" t="s">
        <v>116</v>
      </c>
      <c r="I30" s="5">
        <v>44334</v>
      </c>
      <c r="J30" t="s">
        <v>119</v>
      </c>
      <c r="K30" t="s">
        <v>58</v>
      </c>
      <c r="L30" s="22" t="s">
        <v>58</v>
      </c>
      <c r="M30" s="8" t="s">
        <v>124</v>
      </c>
      <c r="N30" s="21" t="s">
        <v>127</v>
      </c>
    </row>
    <row r="31" spans="1:15" ht="15" x14ac:dyDescent="0.25">
      <c r="A31" t="s">
        <v>109</v>
      </c>
      <c r="B31" t="s">
        <v>108</v>
      </c>
      <c r="C31">
        <v>901.27</v>
      </c>
      <c r="F31" t="s">
        <v>19</v>
      </c>
      <c r="G31" t="s">
        <v>104</v>
      </c>
      <c r="H31" s="8" t="s">
        <v>116</v>
      </c>
      <c r="I31" s="5">
        <v>44334</v>
      </c>
      <c r="J31" t="s">
        <v>23</v>
      </c>
      <c r="K31" t="s">
        <v>113</v>
      </c>
      <c r="L31" s="22">
        <v>2.5090999999999999E-2</v>
      </c>
      <c r="M31" s="8" t="s">
        <v>124</v>
      </c>
      <c r="N31" s="21" t="s">
        <v>127</v>
      </c>
      <c r="O31" s="8" t="s">
        <v>126</v>
      </c>
    </row>
    <row r="32" spans="1:15" ht="15" x14ac:dyDescent="0.25">
      <c r="A32" t="s">
        <v>109</v>
      </c>
      <c r="B32" t="s">
        <v>108</v>
      </c>
      <c r="C32">
        <v>901.27</v>
      </c>
      <c r="F32" t="s">
        <v>19</v>
      </c>
      <c r="G32" t="s">
        <v>104</v>
      </c>
      <c r="H32" s="8" t="s">
        <v>116</v>
      </c>
      <c r="I32" s="5">
        <v>44334</v>
      </c>
      <c r="J32" t="s">
        <v>23</v>
      </c>
      <c r="K32" t="s">
        <v>113</v>
      </c>
      <c r="L32" s="22">
        <v>2.5090999999999999E-2</v>
      </c>
      <c r="M32" s="8" t="s">
        <v>124</v>
      </c>
      <c r="N32" s="21" t="s">
        <v>127</v>
      </c>
      <c r="O32" s="8" t="s">
        <v>126</v>
      </c>
    </row>
    <row r="33" spans="1:15" ht="15" x14ac:dyDescent="0.25">
      <c r="A33" t="s">
        <v>109</v>
      </c>
      <c r="B33" t="s">
        <v>108</v>
      </c>
      <c r="C33">
        <v>901.27</v>
      </c>
      <c r="F33" t="s">
        <v>19</v>
      </c>
      <c r="G33" t="s">
        <v>106</v>
      </c>
      <c r="H33" s="8" t="s">
        <v>116</v>
      </c>
      <c r="I33" s="5">
        <v>44334</v>
      </c>
      <c r="J33" t="s">
        <v>114</v>
      </c>
      <c r="K33" t="s">
        <v>113</v>
      </c>
      <c r="L33" s="22" t="s">
        <v>58</v>
      </c>
      <c r="M33" s="8" t="s">
        <v>124</v>
      </c>
      <c r="N33" s="21" t="s">
        <v>127</v>
      </c>
    </row>
    <row r="34" spans="1:15" ht="15" x14ac:dyDescent="0.25">
      <c r="A34" t="s">
        <v>109</v>
      </c>
      <c r="B34" t="s">
        <v>108</v>
      </c>
      <c r="C34">
        <v>901.27</v>
      </c>
      <c r="F34" t="s">
        <v>19</v>
      </c>
      <c r="G34" t="s">
        <v>77</v>
      </c>
      <c r="H34" s="8" t="s">
        <v>116</v>
      </c>
      <c r="I34" s="5">
        <v>44336</v>
      </c>
      <c r="J34" t="s">
        <v>114</v>
      </c>
      <c r="K34" t="s">
        <v>113</v>
      </c>
      <c r="L34" s="22" t="s">
        <v>58</v>
      </c>
      <c r="M34" s="8" t="s">
        <v>124</v>
      </c>
      <c r="N34" s="21" t="s">
        <v>127</v>
      </c>
    </row>
    <row r="35" spans="1:15" ht="15" x14ac:dyDescent="0.25">
      <c r="A35" t="s">
        <v>109</v>
      </c>
      <c r="B35" t="s">
        <v>108</v>
      </c>
      <c r="C35">
        <v>901.27</v>
      </c>
      <c r="F35" t="s">
        <v>19</v>
      </c>
      <c r="G35" t="s">
        <v>81</v>
      </c>
      <c r="H35" s="8" t="s">
        <v>116</v>
      </c>
      <c r="I35" s="5">
        <v>44336</v>
      </c>
      <c r="J35" t="s">
        <v>23</v>
      </c>
      <c r="K35" t="s">
        <v>122</v>
      </c>
      <c r="L35" s="22">
        <v>4.4999999999999998E-2</v>
      </c>
      <c r="M35" s="8" t="s">
        <v>124</v>
      </c>
      <c r="N35" s="21" t="s">
        <v>127</v>
      </c>
      <c r="O35" s="8" t="s">
        <v>126</v>
      </c>
    </row>
    <row r="36" spans="1:15" ht="15" x14ac:dyDescent="0.25">
      <c r="A36" t="s">
        <v>109</v>
      </c>
      <c r="B36" t="s">
        <v>108</v>
      </c>
      <c r="C36">
        <v>901.27</v>
      </c>
      <c r="F36" t="s">
        <v>19</v>
      </c>
      <c r="G36" t="s">
        <v>81</v>
      </c>
      <c r="H36" s="8" t="s">
        <v>116</v>
      </c>
      <c r="I36" s="5">
        <v>44336</v>
      </c>
      <c r="J36" t="s">
        <v>23</v>
      </c>
      <c r="K36" t="s">
        <v>122</v>
      </c>
      <c r="L36" s="22">
        <v>4.4999999999999998E-2</v>
      </c>
      <c r="M36" s="8" t="s">
        <v>124</v>
      </c>
      <c r="N36" s="21" t="s">
        <v>127</v>
      </c>
      <c r="O36" s="8" t="s">
        <v>126</v>
      </c>
    </row>
    <row r="37" spans="1:15" ht="15" x14ac:dyDescent="0.25">
      <c r="A37" t="s">
        <v>109</v>
      </c>
      <c r="B37" t="s">
        <v>108</v>
      </c>
      <c r="C37">
        <v>901.27</v>
      </c>
      <c r="F37" t="s">
        <v>19</v>
      </c>
      <c r="G37" t="s">
        <v>81</v>
      </c>
      <c r="H37" s="8" t="s">
        <v>116</v>
      </c>
      <c r="I37" s="5">
        <v>44336</v>
      </c>
      <c r="J37" t="s">
        <v>23</v>
      </c>
      <c r="K37" t="s">
        <v>122</v>
      </c>
      <c r="L37" s="22">
        <v>4.4999999999999998E-2</v>
      </c>
      <c r="M37" s="8" t="s">
        <v>124</v>
      </c>
      <c r="N37" s="21" t="s">
        <v>127</v>
      </c>
      <c r="O37" s="8" t="s">
        <v>126</v>
      </c>
    </row>
    <row r="38" spans="1:15" ht="15" x14ac:dyDescent="0.25">
      <c r="A38" t="s">
        <v>109</v>
      </c>
      <c r="B38" t="s">
        <v>108</v>
      </c>
      <c r="C38">
        <v>901.27</v>
      </c>
      <c r="F38" t="s">
        <v>19</v>
      </c>
      <c r="G38" t="s">
        <v>83</v>
      </c>
      <c r="H38" s="8" t="s">
        <v>116</v>
      </c>
      <c r="I38" s="5">
        <v>44336</v>
      </c>
      <c r="J38" t="s">
        <v>114</v>
      </c>
      <c r="K38" t="s">
        <v>113</v>
      </c>
      <c r="L38" s="22" t="s">
        <v>58</v>
      </c>
      <c r="M38" s="8" t="s">
        <v>124</v>
      </c>
      <c r="N38" s="21" t="s">
        <v>127</v>
      </c>
    </row>
    <row r="39" spans="1:15" ht="15" x14ac:dyDescent="0.25">
      <c r="A39" t="s">
        <v>109</v>
      </c>
      <c r="B39" t="s">
        <v>108</v>
      </c>
      <c r="C39">
        <v>901.27</v>
      </c>
      <c r="F39" t="s">
        <v>19</v>
      </c>
      <c r="G39" t="s">
        <v>84</v>
      </c>
      <c r="H39" s="8" t="s">
        <v>116</v>
      </c>
      <c r="I39" s="5">
        <v>44336</v>
      </c>
      <c r="J39" t="s">
        <v>119</v>
      </c>
      <c r="K39" t="s">
        <v>121</v>
      </c>
      <c r="L39" s="22" t="s">
        <v>58</v>
      </c>
      <c r="M39" s="8" t="s">
        <v>124</v>
      </c>
      <c r="N39" s="21" t="s">
        <v>127</v>
      </c>
    </row>
    <row r="40" spans="1:15" ht="15" x14ac:dyDescent="0.25">
      <c r="A40" t="s">
        <v>109</v>
      </c>
      <c r="B40" t="s">
        <v>108</v>
      </c>
      <c r="C40">
        <v>901.27</v>
      </c>
      <c r="F40" t="s">
        <v>19</v>
      </c>
      <c r="G40" t="s">
        <v>95</v>
      </c>
      <c r="H40" s="8" t="s">
        <v>116</v>
      </c>
      <c r="I40" s="5">
        <v>44336</v>
      </c>
      <c r="J40" t="s">
        <v>119</v>
      </c>
      <c r="K40" t="s">
        <v>122</v>
      </c>
      <c r="L40" s="22" t="s">
        <v>58</v>
      </c>
      <c r="M40" s="8" t="s">
        <v>124</v>
      </c>
      <c r="N40" s="21" t="s">
        <v>127</v>
      </c>
    </row>
    <row r="41" spans="1:15" ht="15" x14ac:dyDescent="0.25">
      <c r="A41" t="s">
        <v>109</v>
      </c>
      <c r="B41" t="s">
        <v>108</v>
      </c>
      <c r="C41">
        <v>901.27</v>
      </c>
      <c r="F41" t="s">
        <v>19</v>
      </c>
      <c r="G41" t="s">
        <v>100</v>
      </c>
      <c r="H41" s="8" t="s">
        <v>116</v>
      </c>
      <c r="I41" s="5">
        <v>44336</v>
      </c>
      <c r="J41" t="s">
        <v>23</v>
      </c>
      <c r="K41" t="s">
        <v>121</v>
      </c>
      <c r="L41" s="22">
        <v>0.09</v>
      </c>
      <c r="M41" s="8" t="s">
        <v>124</v>
      </c>
      <c r="N41" s="21" t="s">
        <v>127</v>
      </c>
      <c r="O41" s="8" t="s">
        <v>126</v>
      </c>
    </row>
    <row r="42" spans="1:15" ht="15" x14ac:dyDescent="0.25">
      <c r="A42" t="s">
        <v>109</v>
      </c>
      <c r="B42" t="s">
        <v>108</v>
      </c>
      <c r="C42">
        <v>901.27</v>
      </c>
      <c r="F42" t="s">
        <v>19</v>
      </c>
      <c r="G42" t="s">
        <v>100</v>
      </c>
      <c r="H42" s="8" t="s">
        <v>116</v>
      </c>
      <c r="I42" s="5">
        <v>44336</v>
      </c>
      <c r="J42" t="s">
        <v>23</v>
      </c>
      <c r="K42" t="s">
        <v>121</v>
      </c>
      <c r="L42" s="22">
        <v>0.09</v>
      </c>
      <c r="M42" s="8" t="s">
        <v>124</v>
      </c>
      <c r="N42" s="21" t="s">
        <v>127</v>
      </c>
      <c r="O42" s="8" t="s">
        <v>126</v>
      </c>
    </row>
    <row r="43" spans="1:15" ht="15" x14ac:dyDescent="0.25">
      <c r="A43" t="s">
        <v>110</v>
      </c>
      <c r="B43" t="s">
        <v>108</v>
      </c>
      <c r="C43">
        <v>901.27</v>
      </c>
      <c r="D43" s="8" t="s">
        <v>135</v>
      </c>
      <c r="E43" t="s">
        <v>113</v>
      </c>
      <c r="F43" t="s">
        <v>19</v>
      </c>
      <c r="G43" t="s">
        <v>69</v>
      </c>
      <c r="H43" s="8" t="s">
        <v>116</v>
      </c>
      <c r="I43" s="5">
        <v>44340</v>
      </c>
      <c r="J43" t="s">
        <v>114</v>
      </c>
      <c r="K43" t="s">
        <v>113</v>
      </c>
      <c r="L43" s="22" t="s">
        <v>58</v>
      </c>
      <c r="M43" s="8" t="s">
        <v>124</v>
      </c>
      <c r="N43" s="21" t="s">
        <v>127</v>
      </c>
    </row>
    <row r="44" spans="1:15" ht="15" x14ac:dyDescent="0.25">
      <c r="A44" t="s">
        <v>110</v>
      </c>
      <c r="B44" t="s">
        <v>108</v>
      </c>
      <c r="C44">
        <v>901.27</v>
      </c>
      <c r="D44" s="8" t="s">
        <v>135</v>
      </c>
      <c r="E44" t="s">
        <v>113</v>
      </c>
      <c r="F44" t="s">
        <v>19</v>
      </c>
      <c r="G44" t="s">
        <v>69</v>
      </c>
      <c r="H44" s="8" t="s">
        <v>116</v>
      </c>
      <c r="I44" s="5">
        <v>44340</v>
      </c>
      <c r="J44" t="s">
        <v>114</v>
      </c>
      <c r="K44" t="s">
        <v>113</v>
      </c>
      <c r="L44" s="22" t="s">
        <v>58</v>
      </c>
      <c r="M44" s="8" t="s">
        <v>124</v>
      </c>
      <c r="N44" s="21" t="s">
        <v>127</v>
      </c>
    </row>
    <row r="45" spans="1:15" ht="15" x14ac:dyDescent="0.25">
      <c r="A45" t="s">
        <v>110</v>
      </c>
      <c r="B45" t="s">
        <v>108</v>
      </c>
      <c r="C45">
        <v>901.27</v>
      </c>
      <c r="D45" s="8" t="s">
        <v>135</v>
      </c>
      <c r="E45" t="s">
        <v>113</v>
      </c>
      <c r="F45" t="s">
        <v>19</v>
      </c>
      <c r="G45" t="s">
        <v>72</v>
      </c>
      <c r="H45" s="8" t="s">
        <v>116</v>
      </c>
      <c r="I45" s="5">
        <v>44340</v>
      </c>
      <c r="J45" t="s">
        <v>114</v>
      </c>
      <c r="K45" t="s">
        <v>113</v>
      </c>
      <c r="L45" s="22" t="s">
        <v>58</v>
      </c>
      <c r="M45" s="8" t="s">
        <v>124</v>
      </c>
      <c r="N45" s="21" t="s">
        <v>127</v>
      </c>
    </row>
    <row r="46" spans="1:15" ht="15" x14ac:dyDescent="0.25">
      <c r="A46" t="s">
        <v>109</v>
      </c>
      <c r="B46" t="s">
        <v>108</v>
      </c>
      <c r="C46">
        <v>901.27</v>
      </c>
      <c r="F46" t="s">
        <v>19</v>
      </c>
      <c r="G46" t="s">
        <v>95</v>
      </c>
      <c r="H46" s="8" t="s">
        <v>116</v>
      </c>
      <c r="I46" s="5">
        <v>44340</v>
      </c>
      <c r="J46" t="s">
        <v>114</v>
      </c>
      <c r="K46" t="s">
        <v>113</v>
      </c>
      <c r="L46" s="22" t="s">
        <v>58</v>
      </c>
      <c r="M46" s="8" t="s">
        <v>124</v>
      </c>
      <c r="N46" s="21" t="s">
        <v>127</v>
      </c>
    </row>
    <row r="47" spans="1:15" ht="15" x14ac:dyDescent="0.25">
      <c r="A47" t="s">
        <v>110</v>
      </c>
      <c r="B47" t="s">
        <v>108</v>
      </c>
      <c r="C47">
        <v>901.27</v>
      </c>
      <c r="D47" s="8" t="s">
        <v>135</v>
      </c>
      <c r="E47" t="s">
        <v>121</v>
      </c>
      <c r="F47" t="s">
        <v>19</v>
      </c>
      <c r="G47" t="s">
        <v>98</v>
      </c>
      <c r="H47" s="8" t="s">
        <v>116</v>
      </c>
      <c r="I47" s="5">
        <v>44340</v>
      </c>
      <c r="J47" t="s">
        <v>23</v>
      </c>
      <c r="K47" t="s">
        <v>121</v>
      </c>
      <c r="L47" s="22">
        <v>6.0000000000000001E-3</v>
      </c>
      <c r="M47" s="8" t="s">
        <v>124</v>
      </c>
      <c r="N47" s="21" t="s">
        <v>127</v>
      </c>
      <c r="O47" s="8" t="s">
        <v>126</v>
      </c>
    </row>
    <row r="48" spans="1:15" ht="15" x14ac:dyDescent="0.25">
      <c r="A48" t="s">
        <v>110</v>
      </c>
      <c r="B48" t="s">
        <v>108</v>
      </c>
      <c r="C48">
        <v>901.27</v>
      </c>
      <c r="D48" s="8" t="s">
        <v>135</v>
      </c>
      <c r="E48" t="s">
        <v>121</v>
      </c>
      <c r="F48" t="s">
        <v>19</v>
      </c>
      <c r="G48" t="s">
        <v>98</v>
      </c>
      <c r="H48" s="8" t="s">
        <v>116</v>
      </c>
      <c r="I48" s="5">
        <v>44340</v>
      </c>
      <c r="J48" t="s">
        <v>23</v>
      </c>
      <c r="K48" t="s">
        <v>121</v>
      </c>
      <c r="L48" s="22">
        <v>6.0000000000000001E-3</v>
      </c>
      <c r="M48" s="8" t="s">
        <v>124</v>
      </c>
      <c r="N48" s="21" t="s">
        <v>127</v>
      </c>
      <c r="O48" s="8" t="s">
        <v>126</v>
      </c>
    </row>
    <row r="49" spans="1:15" ht="15" x14ac:dyDescent="0.25">
      <c r="A49" t="s">
        <v>109</v>
      </c>
      <c r="B49" t="s">
        <v>108</v>
      </c>
      <c r="C49">
        <v>901.27</v>
      </c>
      <c r="F49" t="s">
        <v>19</v>
      </c>
      <c r="G49" t="s">
        <v>61</v>
      </c>
      <c r="H49" s="8" t="s">
        <v>116</v>
      </c>
      <c r="I49" s="5">
        <v>44348</v>
      </c>
      <c r="J49" t="s">
        <v>114</v>
      </c>
      <c r="K49" t="s">
        <v>113</v>
      </c>
      <c r="L49" s="22" t="s">
        <v>58</v>
      </c>
      <c r="M49" s="8" t="s">
        <v>124</v>
      </c>
      <c r="N49" s="21" t="s">
        <v>127</v>
      </c>
    </row>
    <row r="50" spans="1:15" ht="15" x14ac:dyDescent="0.25">
      <c r="A50" t="s">
        <v>109</v>
      </c>
      <c r="B50" t="s">
        <v>108</v>
      </c>
      <c r="C50">
        <v>901.27</v>
      </c>
      <c r="F50" t="s">
        <v>19</v>
      </c>
      <c r="G50" t="s">
        <v>91</v>
      </c>
      <c r="H50" s="8" t="s">
        <v>116</v>
      </c>
      <c r="I50" s="5">
        <v>44348</v>
      </c>
      <c r="J50" t="s">
        <v>23</v>
      </c>
      <c r="K50" t="s">
        <v>113</v>
      </c>
      <c r="L50" s="22">
        <v>5.1332999999999997E-2</v>
      </c>
      <c r="M50" s="8" t="s">
        <v>124</v>
      </c>
      <c r="N50" s="21" t="s">
        <v>127</v>
      </c>
      <c r="O50" s="8" t="s">
        <v>126</v>
      </c>
    </row>
    <row r="51" spans="1:15" ht="15" x14ac:dyDescent="0.25">
      <c r="A51" t="s">
        <v>109</v>
      </c>
      <c r="B51" t="s">
        <v>108</v>
      </c>
      <c r="C51">
        <v>901.27</v>
      </c>
      <c r="F51" t="s">
        <v>19</v>
      </c>
      <c r="G51" t="s">
        <v>94</v>
      </c>
      <c r="H51" s="8" t="s">
        <v>116</v>
      </c>
      <c r="I51" s="5">
        <v>44348</v>
      </c>
      <c r="J51" t="s">
        <v>114</v>
      </c>
      <c r="K51" t="s">
        <v>113</v>
      </c>
      <c r="L51" s="22" t="s">
        <v>58</v>
      </c>
      <c r="M51" s="8" t="s">
        <v>124</v>
      </c>
      <c r="N51" s="21" t="s">
        <v>127</v>
      </c>
    </row>
    <row r="52" spans="1:15" ht="15" x14ac:dyDescent="0.25">
      <c r="A52" t="s">
        <v>109</v>
      </c>
      <c r="B52" t="s">
        <v>108</v>
      </c>
      <c r="C52">
        <v>901.27</v>
      </c>
      <c r="F52" t="s">
        <v>19</v>
      </c>
      <c r="G52" t="s">
        <v>96</v>
      </c>
      <c r="H52" s="8" t="s">
        <v>116</v>
      </c>
      <c r="I52" s="5">
        <v>44348</v>
      </c>
      <c r="J52" t="s">
        <v>114</v>
      </c>
      <c r="K52" t="s">
        <v>113</v>
      </c>
      <c r="L52" s="22" t="s">
        <v>58</v>
      </c>
      <c r="M52" s="8" t="s">
        <v>124</v>
      </c>
      <c r="N52" s="21" t="s">
        <v>127</v>
      </c>
    </row>
    <row r="53" spans="1:15" ht="15" x14ac:dyDescent="0.25">
      <c r="A53" t="s">
        <v>109</v>
      </c>
      <c r="B53" t="s">
        <v>108</v>
      </c>
      <c r="C53">
        <v>901.27</v>
      </c>
      <c r="F53" t="s">
        <v>19</v>
      </c>
      <c r="G53" t="s">
        <v>99</v>
      </c>
      <c r="H53" s="8" t="s">
        <v>116</v>
      </c>
      <c r="I53" s="5">
        <v>44348</v>
      </c>
      <c r="J53" t="s">
        <v>114</v>
      </c>
      <c r="K53" t="s">
        <v>113</v>
      </c>
      <c r="L53" s="22" t="s">
        <v>58</v>
      </c>
      <c r="M53" s="8" t="s">
        <v>124</v>
      </c>
      <c r="N53" s="21" t="s">
        <v>127</v>
      </c>
    </row>
    <row r="54" spans="1:15" ht="15" x14ac:dyDescent="0.25">
      <c r="A54" t="s">
        <v>110</v>
      </c>
      <c r="B54" t="s">
        <v>108</v>
      </c>
      <c r="C54">
        <v>901.27</v>
      </c>
      <c r="D54" s="8" t="s">
        <v>135</v>
      </c>
      <c r="E54" t="s">
        <v>113</v>
      </c>
      <c r="F54" t="s">
        <v>19</v>
      </c>
      <c r="G54" t="s">
        <v>86</v>
      </c>
      <c r="H54" s="8" t="s">
        <v>116</v>
      </c>
      <c r="I54" s="5">
        <v>44349</v>
      </c>
      <c r="J54" t="s">
        <v>114</v>
      </c>
      <c r="K54" t="s">
        <v>113</v>
      </c>
      <c r="L54" s="22" t="s">
        <v>58</v>
      </c>
      <c r="M54" s="8" t="s">
        <v>124</v>
      </c>
      <c r="N54" s="21" t="s">
        <v>127</v>
      </c>
    </row>
    <row r="55" spans="1:15" ht="15" x14ac:dyDescent="0.25">
      <c r="A55" t="s">
        <v>110</v>
      </c>
      <c r="B55" t="s">
        <v>108</v>
      </c>
      <c r="C55">
        <v>901.27</v>
      </c>
      <c r="D55" s="8" t="s">
        <v>135</v>
      </c>
      <c r="E55" t="s">
        <v>113</v>
      </c>
      <c r="F55" t="s">
        <v>19</v>
      </c>
      <c r="G55" t="s">
        <v>86</v>
      </c>
      <c r="H55" s="8" t="s">
        <v>116</v>
      </c>
      <c r="I55" s="5">
        <v>44349</v>
      </c>
      <c r="J55" t="s">
        <v>114</v>
      </c>
      <c r="K55" t="s">
        <v>113</v>
      </c>
      <c r="L55" s="22" t="s">
        <v>58</v>
      </c>
      <c r="M55" s="8" t="s">
        <v>124</v>
      </c>
      <c r="N55" s="21" t="s">
        <v>127</v>
      </c>
    </row>
    <row r="56" spans="1:15" ht="15" x14ac:dyDescent="0.25">
      <c r="A56" t="s">
        <v>110</v>
      </c>
      <c r="B56" t="s">
        <v>108</v>
      </c>
      <c r="C56">
        <v>901.27</v>
      </c>
      <c r="D56" s="8" t="s">
        <v>135</v>
      </c>
      <c r="E56" t="s">
        <v>121</v>
      </c>
      <c r="F56" t="s">
        <v>19</v>
      </c>
      <c r="G56" t="s">
        <v>128</v>
      </c>
      <c r="H56" s="8" t="s">
        <v>116</v>
      </c>
      <c r="I56" s="5">
        <v>44349</v>
      </c>
      <c r="J56" t="s">
        <v>23</v>
      </c>
      <c r="K56" t="s">
        <v>121</v>
      </c>
      <c r="L56" s="22">
        <v>3.1103999999999998</v>
      </c>
      <c r="M56" s="8" t="s">
        <v>124</v>
      </c>
      <c r="N56" s="21" t="s">
        <v>127</v>
      </c>
      <c r="O56" s="8" t="s">
        <v>126</v>
      </c>
    </row>
    <row r="57" spans="1:15" ht="15" x14ac:dyDescent="0.25">
      <c r="A57" t="s">
        <v>110</v>
      </c>
      <c r="B57" t="s">
        <v>108</v>
      </c>
      <c r="C57">
        <v>901.27</v>
      </c>
      <c r="D57" s="8" t="s">
        <v>135</v>
      </c>
      <c r="E57" t="s">
        <v>113</v>
      </c>
      <c r="F57" t="s">
        <v>19</v>
      </c>
      <c r="G57" t="s">
        <v>130</v>
      </c>
      <c r="H57" s="8" t="s">
        <v>116</v>
      </c>
      <c r="I57" s="5">
        <v>44349</v>
      </c>
      <c r="J57" t="s">
        <v>23</v>
      </c>
      <c r="K57" t="s">
        <v>113</v>
      </c>
      <c r="L57" s="22">
        <v>5.4000000000000003E-3</v>
      </c>
      <c r="M57" s="8" t="s">
        <v>124</v>
      </c>
      <c r="N57" s="21" t="s">
        <v>127</v>
      </c>
      <c r="O57" s="8" t="s">
        <v>126</v>
      </c>
    </row>
    <row r="58" spans="1:15" ht="15" x14ac:dyDescent="0.25">
      <c r="A58" t="s">
        <v>110</v>
      </c>
      <c r="B58" t="s">
        <v>108</v>
      </c>
      <c r="C58">
        <v>901.27</v>
      </c>
      <c r="D58" s="8" t="s">
        <v>135</v>
      </c>
      <c r="E58" t="s">
        <v>58</v>
      </c>
      <c r="F58" t="s">
        <v>19</v>
      </c>
      <c r="G58" t="s">
        <v>62</v>
      </c>
      <c r="H58" s="8" t="s">
        <v>116</v>
      </c>
      <c r="I58" s="5">
        <v>44361</v>
      </c>
      <c r="J58" t="s">
        <v>120</v>
      </c>
      <c r="K58" t="s">
        <v>58</v>
      </c>
      <c r="L58" s="22" t="s">
        <v>58</v>
      </c>
      <c r="M58" s="8" t="s">
        <v>124</v>
      </c>
      <c r="N58" s="21" t="s">
        <v>127</v>
      </c>
    </row>
    <row r="59" spans="1:15" ht="15" x14ac:dyDescent="0.25">
      <c r="A59" t="s">
        <v>110</v>
      </c>
      <c r="B59" t="s">
        <v>108</v>
      </c>
      <c r="C59">
        <v>901.27</v>
      </c>
      <c r="D59" s="8" t="s">
        <v>135</v>
      </c>
      <c r="E59" t="s">
        <v>113</v>
      </c>
      <c r="F59" t="s">
        <v>19</v>
      </c>
      <c r="G59" t="s">
        <v>71</v>
      </c>
      <c r="H59" s="8" t="s">
        <v>116</v>
      </c>
      <c r="I59" s="5">
        <v>44361</v>
      </c>
      <c r="J59" t="s">
        <v>114</v>
      </c>
      <c r="K59" t="s">
        <v>113</v>
      </c>
      <c r="L59" s="22" t="s">
        <v>58</v>
      </c>
      <c r="M59" s="8" t="s">
        <v>124</v>
      </c>
      <c r="N59" s="21" t="s">
        <v>127</v>
      </c>
    </row>
    <row r="60" spans="1:15" ht="15" x14ac:dyDescent="0.25">
      <c r="A60" t="s">
        <v>110</v>
      </c>
      <c r="B60" t="s">
        <v>108</v>
      </c>
      <c r="C60">
        <v>901.27</v>
      </c>
      <c r="D60" s="8" t="s">
        <v>135</v>
      </c>
      <c r="E60" t="s">
        <v>113</v>
      </c>
      <c r="F60" t="s">
        <v>19</v>
      </c>
      <c r="G60" t="s">
        <v>97</v>
      </c>
      <c r="H60" s="8" t="s">
        <v>116</v>
      </c>
      <c r="I60" s="5">
        <v>44361</v>
      </c>
      <c r="J60" t="s">
        <v>120</v>
      </c>
      <c r="K60" t="s">
        <v>113</v>
      </c>
      <c r="L60" s="22" t="s">
        <v>58</v>
      </c>
      <c r="M60" s="8" t="s">
        <v>124</v>
      </c>
      <c r="N60" s="21" t="s">
        <v>127</v>
      </c>
    </row>
    <row r="61" spans="1:15" ht="15" x14ac:dyDescent="0.25">
      <c r="A61" t="s">
        <v>110</v>
      </c>
      <c r="B61" t="s">
        <v>108</v>
      </c>
      <c r="C61">
        <v>901.27</v>
      </c>
      <c r="D61" s="8" t="s">
        <v>135</v>
      </c>
      <c r="E61" t="s">
        <v>113</v>
      </c>
      <c r="F61" t="s">
        <v>19</v>
      </c>
      <c r="G61" t="s">
        <v>131</v>
      </c>
      <c r="H61" s="8" t="s">
        <v>116</v>
      </c>
      <c r="I61" s="5">
        <v>44361</v>
      </c>
      <c r="J61" t="s">
        <v>114</v>
      </c>
      <c r="K61" t="s">
        <v>113</v>
      </c>
      <c r="L61" s="22" t="s">
        <v>58</v>
      </c>
      <c r="M61" s="8" t="s">
        <v>124</v>
      </c>
      <c r="N61" s="21" t="s">
        <v>127</v>
      </c>
    </row>
    <row r="62" spans="1:15" ht="15" x14ac:dyDescent="0.25">
      <c r="A62" t="s">
        <v>110</v>
      </c>
      <c r="B62" t="s">
        <v>108</v>
      </c>
      <c r="C62">
        <v>901.27</v>
      </c>
      <c r="D62" s="8" t="s">
        <v>134</v>
      </c>
      <c r="E62" t="s">
        <v>113</v>
      </c>
      <c r="F62" t="s">
        <v>19</v>
      </c>
      <c r="G62" t="s">
        <v>133</v>
      </c>
      <c r="H62" s="8" t="s">
        <v>116</v>
      </c>
      <c r="I62" s="5">
        <v>44361</v>
      </c>
      <c r="J62" t="s">
        <v>114</v>
      </c>
      <c r="K62" t="s">
        <v>113</v>
      </c>
      <c r="L62" s="22" t="s">
        <v>58</v>
      </c>
      <c r="M62" s="8" t="s">
        <v>124</v>
      </c>
      <c r="N62" s="21" t="s">
        <v>127</v>
      </c>
    </row>
    <row r="63" spans="1:15" ht="15" x14ac:dyDescent="0.25">
      <c r="A63" t="s">
        <v>110</v>
      </c>
      <c r="B63" t="s">
        <v>108</v>
      </c>
      <c r="C63">
        <v>901.27</v>
      </c>
      <c r="D63" s="8" t="s">
        <v>134</v>
      </c>
      <c r="E63" t="s">
        <v>113</v>
      </c>
      <c r="F63" t="s">
        <v>19</v>
      </c>
      <c r="G63" t="s">
        <v>132</v>
      </c>
      <c r="H63" s="8" t="s">
        <v>116</v>
      </c>
      <c r="I63" s="5">
        <v>44378</v>
      </c>
      <c r="J63" t="s">
        <v>114</v>
      </c>
      <c r="K63" t="s">
        <v>113</v>
      </c>
      <c r="L63" s="22" t="s">
        <v>58</v>
      </c>
      <c r="M63" s="8" t="s">
        <v>124</v>
      </c>
      <c r="N63" s="21" t="s">
        <v>127</v>
      </c>
    </row>
    <row r="64" spans="1:15" ht="15" x14ac:dyDescent="0.25">
      <c r="A64" t="s">
        <v>111</v>
      </c>
      <c r="B64" t="s">
        <v>108</v>
      </c>
      <c r="C64">
        <v>901.27</v>
      </c>
      <c r="F64" t="s">
        <v>19</v>
      </c>
      <c r="G64" t="s">
        <v>64</v>
      </c>
      <c r="H64" s="8" t="s">
        <v>116</v>
      </c>
      <c r="I64" s="5">
        <v>44420</v>
      </c>
      <c r="J64" t="s">
        <v>23</v>
      </c>
      <c r="K64" t="s">
        <v>112</v>
      </c>
      <c r="L64" s="22">
        <v>0.06</v>
      </c>
      <c r="M64" s="8" t="s">
        <v>124</v>
      </c>
      <c r="N64" s="21" t="s">
        <v>127</v>
      </c>
      <c r="O64" s="8" t="s">
        <v>126</v>
      </c>
    </row>
    <row r="65" spans="1:15" ht="15" x14ac:dyDescent="0.25">
      <c r="A65" t="s">
        <v>111</v>
      </c>
      <c r="B65" t="s">
        <v>108</v>
      </c>
      <c r="C65">
        <v>901.27</v>
      </c>
      <c r="F65" t="s">
        <v>19</v>
      </c>
      <c r="G65" t="s">
        <v>80</v>
      </c>
      <c r="H65" s="8" t="s">
        <v>116</v>
      </c>
      <c r="I65" s="5">
        <v>44420</v>
      </c>
      <c r="J65" t="s">
        <v>23</v>
      </c>
      <c r="K65" t="s">
        <v>122</v>
      </c>
      <c r="L65" s="22">
        <v>8.0249999999999991E-3</v>
      </c>
      <c r="M65" s="8" t="s">
        <v>124</v>
      </c>
      <c r="N65" s="21" t="s">
        <v>127</v>
      </c>
      <c r="O65" s="8" t="s">
        <v>126</v>
      </c>
    </row>
    <row r="66" spans="1:15" ht="15" x14ac:dyDescent="0.25">
      <c r="A66" t="s">
        <v>111</v>
      </c>
      <c r="B66" t="s">
        <v>108</v>
      </c>
      <c r="C66">
        <v>901.27</v>
      </c>
      <c r="F66" t="s">
        <v>19</v>
      </c>
      <c r="G66" t="s">
        <v>85</v>
      </c>
      <c r="H66" s="8" t="s">
        <v>116</v>
      </c>
      <c r="I66" s="5">
        <v>44420</v>
      </c>
      <c r="J66" t="s">
        <v>23</v>
      </c>
      <c r="K66" t="s">
        <v>112</v>
      </c>
      <c r="L66" s="22" t="s">
        <v>58</v>
      </c>
      <c r="M66" s="8" t="s">
        <v>124</v>
      </c>
      <c r="N66" s="21" t="s">
        <v>127</v>
      </c>
    </row>
    <row r="67" spans="1:15" ht="15" x14ac:dyDescent="0.25">
      <c r="A67" t="s">
        <v>111</v>
      </c>
      <c r="B67" t="s">
        <v>108</v>
      </c>
      <c r="C67">
        <v>901.27</v>
      </c>
      <c r="F67" t="s">
        <v>19</v>
      </c>
      <c r="G67" t="s">
        <v>87</v>
      </c>
      <c r="H67" s="8" t="s">
        <v>116</v>
      </c>
      <c r="I67" s="5">
        <v>44420</v>
      </c>
      <c r="J67" t="s">
        <v>23</v>
      </c>
      <c r="K67" t="s">
        <v>58</v>
      </c>
      <c r="L67" s="22">
        <v>1.4E-2</v>
      </c>
      <c r="M67" s="8" t="s">
        <v>124</v>
      </c>
      <c r="N67" s="21" t="s">
        <v>127</v>
      </c>
      <c r="O67" s="8" t="s">
        <v>126</v>
      </c>
    </row>
    <row r="68" spans="1:15" ht="15" x14ac:dyDescent="0.25">
      <c r="A68" t="s">
        <v>111</v>
      </c>
      <c r="B68" t="s">
        <v>108</v>
      </c>
      <c r="C68">
        <v>901.27</v>
      </c>
      <c r="F68" t="s">
        <v>19</v>
      </c>
      <c r="G68" t="s">
        <v>87</v>
      </c>
      <c r="H68" s="8" t="s">
        <v>116</v>
      </c>
      <c r="I68" s="5">
        <v>44420</v>
      </c>
      <c r="J68" t="s">
        <v>23</v>
      </c>
      <c r="K68" t="s">
        <v>58</v>
      </c>
      <c r="L68" s="22">
        <v>1.4E-2</v>
      </c>
      <c r="M68" s="8" t="s">
        <v>124</v>
      </c>
      <c r="N68" s="21" t="s">
        <v>127</v>
      </c>
      <c r="O68" s="8" t="s">
        <v>126</v>
      </c>
    </row>
    <row r="69" spans="1:15" ht="15" x14ac:dyDescent="0.25">
      <c r="A69" t="s">
        <v>111</v>
      </c>
      <c r="B69" t="s">
        <v>108</v>
      </c>
      <c r="C69">
        <v>901.27</v>
      </c>
      <c r="F69" t="s">
        <v>19</v>
      </c>
      <c r="G69" t="s">
        <v>103</v>
      </c>
      <c r="H69" s="8" t="s">
        <v>116</v>
      </c>
      <c r="I69" s="5">
        <v>44420</v>
      </c>
      <c r="J69" t="s">
        <v>114</v>
      </c>
      <c r="K69" t="s">
        <v>113</v>
      </c>
      <c r="L69" s="22" t="s">
        <v>58</v>
      </c>
      <c r="M69" s="8" t="s">
        <v>124</v>
      </c>
      <c r="N69" s="21" t="s">
        <v>127</v>
      </c>
    </row>
    <row r="70" spans="1:15" ht="15" x14ac:dyDescent="0.25">
      <c r="A70" t="s">
        <v>110</v>
      </c>
      <c r="B70" t="s">
        <v>108</v>
      </c>
      <c r="C70">
        <v>901.27</v>
      </c>
      <c r="D70" s="8" t="s">
        <v>135</v>
      </c>
      <c r="E70" t="s">
        <v>113</v>
      </c>
      <c r="F70" t="s">
        <v>19</v>
      </c>
      <c r="G70" t="s">
        <v>62</v>
      </c>
      <c r="H70" s="8" t="s">
        <v>116</v>
      </c>
      <c r="I70" s="5">
        <v>44424</v>
      </c>
      <c r="J70" t="s">
        <v>120</v>
      </c>
      <c r="K70" t="s">
        <v>113</v>
      </c>
      <c r="L70" s="22" t="s">
        <v>58</v>
      </c>
      <c r="M70" s="8" t="s">
        <v>124</v>
      </c>
      <c r="N70" s="21" t="s">
        <v>127</v>
      </c>
    </row>
    <row r="71" spans="1:15" ht="15" x14ac:dyDescent="0.25">
      <c r="A71" t="s">
        <v>110</v>
      </c>
      <c r="B71" t="s">
        <v>108</v>
      </c>
      <c r="C71">
        <v>901.27</v>
      </c>
      <c r="D71" s="8" t="s">
        <v>135</v>
      </c>
      <c r="E71" t="s">
        <v>113</v>
      </c>
      <c r="F71" t="s">
        <v>19</v>
      </c>
      <c r="G71" t="s">
        <v>71</v>
      </c>
      <c r="H71" s="8" t="s">
        <v>116</v>
      </c>
      <c r="I71" s="5">
        <v>44424</v>
      </c>
      <c r="J71" t="s">
        <v>114</v>
      </c>
      <c r="K71" t="s">
        <v>113</v>
      </c>
      <c r="L71" s="22" t="s">
        <v>58</v>
      </c>
      <c r="M71" s="8" t="s">
        <v>124</v>
      </c>
      <c r="N71" s="21" t="s">
        <v>127</v>
      </c>
    </row>
    <row r="72" spans="1:15" ht="15" x14ac:dyDescent="0.25">
      <c r="A72" t="s">
        <v>110</v>
      </c>
      <c r="B72" t="s">
        <v>108</v>
      </c>
      <c r="C72">
        <v>901.27</v>
      </c>
      <c r="D72" s="8" t="s">
        <v>135</v>
      </c>
      <c r="E72" t="s">
        <v>113</v>
      </c>
      <c r="F72" t="s">
        <v>19</v>
      </c>
      <c r="G72" t="s">
        <v>131</v>
      </c>
      <c r="H72" s="8" t="s">
        <v>116</v>
      </c>
      <c r="I72" s="5">
        <v>44424</v>
      </c>
      <c r="J72" t="s">
        <v>114</v>
      </c>
      <c r="K72" t="s">
        <v>113</v>
      </c>
      <c r="L72" s="22" t="s">
        <v>58</v>
      </c>
      <c r="M72" s="8" t="s">
        <v>124</v>
      </c>
      <c r="N72" s="21" t="s">
        <v>127</v>
      </c>
    </row>
    <row r="73" spans="1:15" ht="15" x14ac:dyDescent="0.25">
      <c r="A73" t="s">
        <v>110</v>
      </c>
      <c r="B73" t="s">
        <v>108</v>
      </c>
      <c r="C73">
        <v>901.27</v>
      </c>
      <c r="D73" s="8" t="s">
        <v>134</v>
      </c>
      <c r="E73" t="s">
        <v>113</v>
      </c>
      <c r="F73" t="s">
        <v>19</v>
      </c>
      <c r="G73" t="s">
        <v>133</v>
      </c>
      <c r="H73" s="8" t="s">
        <v>116</v>
      </c>
      <c r="I73" s="5">
        <v>44424</v>
      </c>
      <c r="J73" t="s">
        <v>114</v>
      </c>
      <c r="K73" t="s">
        <v>113</v>
      </c>
      <c r="L73" s="22" t="s">
        <v>58</v>
      </c>
      <c r="M73" s="8" t="s">
        <v>124</v>
      </c>
      <c r="N73" s="21" t="s">
        <v>127</v>
      </c>
    </row>
    <row r="74" spans="1:15" ht="15" x14ac:dyDescent="0.25">
      <c r="A74" t="s">
        <v>109</v>
      </c>
      <c r="B74" t="s">
        <v>108</v>
      </c>
      <c r="C74">
        <v>901.27</v>
      </c>
      <c r="F74" t="s">
        <v>19</v>
      </c>
      <c r="G74" t="s">
        <v>61</v>
      </c>
      <c r="H74" s="8" t="s">
        <v>116</v>
      </c>
      <c r="I74" s="5">
        <v>44440</v>
      </c>
      <c r="J74" t="s">
        <v>114</v>
      </c>
      <c r="K74" t="s">
        <v>113</v>
      </c>
      <c r="L74" s="22" t="s">
        <v>58</v>
      </c>
      <c r="M74" s="8" t="s">
        <v>124</v>
      </c>
      <c r="N74" s="21" t="s">
        <v>127</v>
      </c>
    </row>
    <row r="75" spans="1:15" ht="15" x14ac:dyDescent="0.25">
      <c r="A75" t="s">
        <v>110</v>
      </c>
      <c r="B75" t="s">
        <v>108</v>
      </c>
      <c r="C75">
        <v>901.27</v>
      </c>
      <c r="D75" s="8" t="s">
        <v>135</v>
      </c>
      <c r="E75" t="s">
        <v>113</v>
      </c>
      <c r="F75" t="s">
        <v>19</v>
      </c>
      <c r="G75" t="s">
        <v>86</v>
      </c>
      <c r="H75" s="8" t="s">
        <v>116</v>
      </c>
      <c r="I75" s="5">
        <v>44440</v>
      </c>
      <c r="J75" t="s">
        <v>114</v>
      </c>
      <c r="K75" t="s">
        <v>113</v>
      </c>
      <c r="L75" s="22" t="s">
        <v>58</v>
      </c>
      <c r="M75" s="8" t="s">
        <v>124</v>
      </c>
      <c r="N75" s="21" t="s">
        <v>127</v>
      </c>
    </row>
    <row r="76" spans="1:15" ht="15" x14ac:dyDescent="0.25">
      <c r="A76" t="s">
        <v>110</v>
      </c>
      <c r="B76" t="s">
        <v>108</v>
      </c>
      <c r="C76">
        <v>901.27</v>
      </c>
      <c r="D76" s="8" t="s">
        <v>135</v>
      </c>
      <c r="E76" t="s">
        <v>113</v>
      </c>
      <c r="F76" t="s">
        <v>19</v>
      </c>
      <c r="G76" t="s">
        <v>86</v>
      </c>
      <c r="H76" s="8" t="s">
        <v>116</v>
      </c>
      <c r="I76" s="5">
        <v>44440</v>
      </c>
      <c r="J76" t="s">
        <v>114</v>
      </c>
      <c r="K76" t="s">
        <v>113</v>
      </c>
      <c r="L76" s="22" t="s">
        <v>58</v>
      </c>
      <c r="M76" s="8" t="s">
        <v>124</v>
      </c>
      <c r="N76" s="21" t="s">
        <v>127</v>
      </c>
    </row>
    <row r="77" spans="1:15" ht="15" x14ac:dyDescent="0.25">
      <c r="A77" t="s">
        <v>109</v>
      </c>
      <c r="B77" t="s">
        <v>108</v>
      </c>
      <c r="C77">
        <v>901.27</v>
      </c>
      <c r="F77" t="s">
        <v>19</v>
      </c>
      <c r="G77" t="s">
        <v>91</v>
      </c>
      <c r="H77" s="8" t="s">
        <v>116</v>
      </c>
      <c r="I77" s="5">
        <v>44440</v>
      </c>
      <c r="J77" t="s">
        <v>23</v>
      </c>
      <c r="K77" t="s">
        <v>113</v>
      </c>
      <c r="L77" s="22">
        <v>8.6400000000000005E-2</v>
      </c>
      <c r="M77" s="8" t="s">
        <v>124</v>
      </c>
      <c r="N77" s="21" t="s">
        <v>127</v>
      </c>
      <c r="O77" s="8" t="s">
        <v>126</v>
      </c>
    </row>
    <row r="78" spans="1:15" ht="15" x14ac:dyDescent="0.25">
      <c r="A78" t="s">
        <v>109</v>
      </c>
      <c r="B78" t="s">
        <v>108</v>
      </c>
      <c r="C78">
        <v>901.27</v>
      </c>
      <c r="F78" t="s">
        <v>19</v>
      </c>
      <c r="G78" t="s">
        <v>94</v>
      </c>
      <c r="H78" s="8" t="s">
        <v>116</v>
      </c>
      <c r="I78" s="5">
        <v>44440</v>
      </c>
      <c r="J78" t="s">
        <v>119</v>
      </c>
      <c r="K78" t="s">
        <v>113</v>
      </c>
      <c r="L78" s="22" t="s">
        <v>58</v>
      </c>
      <c r="M78" s="8" t="s">
        <v>124</v>
      </c>
      <c r="N78" s="21" t="s">
        <v>127</v>
      </c>
    </row>
    <row r="79" spans="1:15" ht="15" x14ac:dyDescent="0.25">
      <c r="A79" t="s">
        <v>109</v>
      </c>
      <c r="B79" t="s">
        <v>108</v>
      </c>
      <c r="C79">
        <v>901.27</v>
      </c>
      <c r="F79" t="s">
        <v>19</v>
      </c>
      <c r="G79" t="s">
        <v>96</v>
      </c>
      <c r="H79" s="8" t="s">
        <v>116</v>
      </c>
      <c r="I79" s="5">
        <v>44440</v>
      </c>
      <c r="J79" t="s">
        <v>114</v>
      </c>
      <c r="K79" t="s">
        <v>113</v>
      </c>
      <c r="L79" s="22" t="s">
        <v>58</v>
      </c>
      <c r="M79" s="8" t="s">
        <v>124</v>
      </c>
      <c r="N79" s="21" t="s">
        <v>127</v>
      </c>
    </row>
    <row r="80" spans="1:15" ht="15" x14ac:dyDescent="0.25">
      <c r="A80" t="s">
        <v>109</v>
      </c>
      <c r="B80" t="s">
        <v>108</v>
      </c>
      <c r="C80">
        <v>901.27</v>
      </c>
      <c r="F80" t="s">
        <v>19</v>
      </c>
      <c r="G80" t="s">
        <v>99</v>
      </c>
      <c r="H80" s="8" t="s">
        <v>116</v>
      </c>
      <c r="I80" s="5">
        <v>44440</v>
      </c>
      <c r="J80" t="s">
        <v>114</v>
      </c>
      <c r="K80" t="s">
        <v>113</v>
      </c>
      <c r="L80" s="22" t="s">
        <v>58</v>
      </c>
      <c r="M80" s="8" t="s">
        <v>124</v>
      </c>
      <c r="N80" s="21" t="s">
        <v>127</v>
      </c>
    </row>
    <row r="81" spans="1:15" ht="15" x14ac:dyDescent="0.25">
      <c r="A81" t="s">
        <v>110</v>
      </c>
      <c r="B81" t="s">
        <v>108</v>
      </c>
      <c r="C81">
        <v>901.27</v>
      </c>
      <c r="D81" s="8" t="s">
        <v>135</v>
      </c>
      <c r="E81" t="s">
        <v>122</v>
      </c>
      <c r="F81" t="s">
        <v>19</v>
      </c>
      <c r="G81" t="s">
        <v>128</v>
      </c>
      <c r="H81" s="8" t="s">
        <v>116</v>
      </c>
      <c r="I81" s="5">
        <v>44440</v>
      </c>
      <c r="J81" t="s">
        <v>23</v>
      </c>
      <c r="K81" t="s">
        <v>122</v>
      </c>
      <c r="L81" s="22">
        <v>0.179455</v>
      </c>
      <c r="M81" s="8" t="s">
        <v>124</v>
      </c>
      <c r="N81" s="21" t="s">
        <v>127</v>
      </c>
      <c r="O81" s="8" t="s">
        <v>126</v>
      </c>
    </row>
    <row r="82" spans="1:15" ht="15" x14ac:dyDescent="0.25">
      <c r="A82" t="s">
        <v>110</v>
      </c>
      <c r="B82" t="s">
        <v>108</v>
      </c>
      <c r="C82">
        <v>901.27</v>
      </c>
      <c r="D82" s="8" t="s">
        <v>135</v>
      </c>
      <c r="E82" t="s">
        <v>113</v>
      </c>
      <c r="F82" t="s">
        <v>19</v>
      </c>
      <c r="G82" t="s">
        <v>129</v>
      </c>
      <c r="H82" s="8" t="s">
        <v>116</v>
      </c>
      <c r="I82" s="5">
        <v>44440</v>
      </c>
      <c r="J82" t="s">
        <v>114</v>
      </c>
      <c r="K82" t="s">
        <v>113</v>
      </c>
      <c r="L82" s="22" t="s">
        <v>58</v>
      </c>
      <c r="M82" s="8" t="s">
        <v>124</v>
      </c>
      <c r="N82" s="21" t="s">
        <v>127</v>
      </c>
    </row>
    <row r="83" spans="1:15" ht="15" x14ac:dyDescent="0.25">
      <c r="A83" t="s">
        <v>110</v>
      </c>
      <c r="B83" t="s">
        <v>108</v>
      </c>
      <c r="C83">
        <v>901.27</v>
      </c>
      <c r="D83" s="8" t="s">
        <v>135</v>
      </c>
      <c r="E83" t="s">
        <v>122</v>
      </c>
      <c r="F83" t="s">
        <v>19</v>
      </c>
      <c r="G83" t="s">
        <v>130</v>
      </c>
      <c r="H83" s="8" t="s">
        <v>116</v>
      </c>
      <c r="I83" s="5">
        <v>44440</v>
      </c>
      <c r="J83" t="s">
        <v>23</v>
      </c>
      <c r="K83" t="s">
        <v>122</v>
      </c>
      <c r="L83" s="22">
        <v>1.5900000000000001E-3</v>
      </c>
      <c r="M83" s="8" t="s">
        <v>124</v>
      </c>
      <c r="N83" s="21" t="s">
        <v>127</v>
      </c>
      <c r="O83" s="8" t="s">
        <v>126</v>
      </c>
    </row>
    <row r="84" spans="1:15" ht="15" x14ac:dyDescent="0.25">
      <c r="A84" t="s">
        <v>110</v>
      </c>
      <c r="B84" t="s">
        <v>108</v>
      </c>
      <c r="C84">
        <v>901.27</v>
      </c>
      <c r="D84" s="8" t="s">
        <v>134</v>
      </c>
      <c r="E84" t="s">
        <v>113</v>
      </c>
      <c r="F84" t="s">
        <v>19</v>
      </c>
      <c r="G84" t="s">
        <v>132</v>
      </c>
      <c r="H84" s="8" t="s">
        <v>116</v>
      </c>
      <c r="I84" s="5">
        <v>44440</v>
      </c>
      <c r="J84" t="s">
        <v>114</v>
      </c>
      <c r="K84" t="s">
        <v>113</v>
      </c>
      <c r="L84" s="22" t="s">
        <v>58</v>
      </c>
      <c r="M84" s="8" t="s">
        <v>124</v>
      </c>
      <c r="N84" s="21" t="s">
        <v>127</v>
      </c>
    </row>
    <row r="85" spans="1:15" ht="15" x14ac:dyDescent="0.25">
      <c r="A85" t="s">
        <v>109</v>
      </c>
      <c r="B85" t="s">
        <v>108</v>
      </c>
      <c r="C85">
        <v>901.27</v>
      </c>
      <c r="F85" t="s">
        <v>19</v>
      </c>
      <c r="G85" t="s">
        <v>60</v>
      </c>
      <c r="H85" s="8" t="s">
        <v>116</v>
      </c>
      <c r="I85" s="5">
        <v>44447</v>
      </c>
      <c r="J85" t="s">
        <v>119</v>
      </c>
      <c r="K85" t="s">
        <v>112</v>
      </c>
      <c r="L85" s="22" t="s">
        <v>58</v>
      </c>
      <c r="M85" s="8" t="s">
        <v>124</v>
      </c>
      <c r="N85" s="21" t="s">
        <v>127</v>
      </c>
    </row>
    <row r="86" spans="1:15" ht="15" x14ac:dyDescent="0.25">
      <c r="A86" t="s">
        <v>109</v>
      </c>
      <c r="B86" t="s">
        <v>108</v>
      </c>
      <c r="C86">
        <v>901.27</v>
      </c>
      <c r="F86" t="s">
        <v>19</v>
      </c>
      <c r="G86" t="s">
        <v>63</v>
      </c>
      <c r="H86" s="8" t="s">
        <v>116</v>
      </c>
      <c r="I86" s="5">
        <v>44447</v>
      </c>
      <c r="J86" t="s">
        <v>114</v>
      </c>
      <c r="K86" t="s">
        <v>113</v>
      </c>
      <c r="L86" s="22" t="s">
        <v>58</v>
      </c>
      <c r="M86" s="8" t="s">
        <v>124</v>
      </c>
      <c r="N86" s="21" t="s">
        <v>127</v>
      </c>
    </row>
    <row r="87" spans="1:15" ht="15" x14ac:dyDescent="0.25">
      <c r="A87" t="s">
        <v>109</v>
      </c>
      <c r="B87" t="s">
        <v>108</v>
      </c>
      <c r="C87">
        <v>901.27</v>
      </c>
      <c r="F87" t="s">
        <v>19</v>
      </c>
      <c r="G87" t="s">
        <v>66</v>
      </c>
      <c r="H87" s="8" t="s">
        <v>116</v>
      </c>
      <c r="I87" s="5">
        <v>44447</v>
      </c>
      <c r="J87" t="s">
        <v>119</v>
      </c>
      <c r="K87" t="s">
        <v>122</v>
      </c>
      <c r="L87" s="22" t="s">
        <v>58</v>
      </c>
      <c r="M87" s="8" t="s">
        <v>124</v>
      </c>
      <c r="N87" s="21" t="s">
        <v>127</v>
      </c>
    </row>
    <row r="88" spans="1:15" ht="15" x14ac:dyDescent="0.25">
      <c r="A88" t="s">
        <v>109</v>
      </c>
      <c r="B88" t="s">
        <v>108</v>
      </c>
      <c r="C88">
        <v>901.27</v>
      </c>
      <c r="F88" t="s">
        <v>19</v>
      </c>
      <c r="G88" t="s">
        <v>68</v>
      </c>
      <c r="H88" s="8" t="s">
        <v>116</v>
      </c>
      <c r="I88" s="5">
        <v>44447</v>
      </c>
      <c r="J88" t="s">
        <v>119</v>
      </c>
      <c r="K88" t="s">
        <v>121</v>
      </c>
      <c r="L88" s="22" t="s">
        <v>58</v>
      </c>
      <c r="M88" s="8" t="s">
        <v>124</v>
      </c>
      <c r="N88" s="21" t="s">
        <v>127</v>
      </c>
    </row>
    <row r="89" spans="1:15" ht="15" x14ac:dyDescent="0.25">
      <c r="A89" t="s">
        <v>109</v>
      </c>
      <c r="B89" t="s">
        <v>108</v>
      </c>
      <c r="C89">
        <v>901.27</v>
      </c>
      <c r="F89" t="s">
        <v>19</v>
      </c>
      <c r="G89" t="s">
        <v>73</v>
      </c>
      <c r="H89" s="8" t="s">
        <v>116</v>
      </c>
      <c r="I89" s="5">
        <v>44447</v>
      </c>
      <c r="J89" t="s">
        <v>119</v>
      </c>
      <c r="K89" t="s">
        <v>112</v>
      </c>
      <c r="L89" s="22" t="s">
        <v>58</v>
      </c>
      <c r="M89" s="8" t="s">
        <v>124</v>
      </c>
      <c r="N89" s="21" t="s">
        <v>127</v>
      </c>
    </row>
    <row r="90" spans="1:15" ht="15" x14ac:dyDescent="0.25">
      <c r="A90" t="s">
        <v>109</v>
      </c>
      <c r="B90" t="s">
        <v>108</v>
      </c>
      <c r="C90">
        <v>901.27</v>
      </c>
      <c r="F90" t="s">
        <v>19</v>
      </c>
      <c r="G90" t="s">
        <v>74</v>
      </c>
      <c r="H90" s="8" t="s">
        <v>116</v>
      </c>
      <c r="I90" s="5">
        <v>44447</v>
      </c>
      <c r="J90" t="s">
        <v>114</v>
      </c>
      <c r="K90" t="s">
        <v>113</v>
      </c>
      <c r="L90" s="22" t="s">
        <v>58</v>
      </c>
      <c r="M90" s="8" t="s">
        <v>124</v>
      </c>
      <c r="N90" s="21" t="s">
        <v>127</v>
      </c>
    </row>
    <row r="91" spans="1:15" ht="15" x14ac:dyDescent="0.25">
      <c r="A91" t="s">
        <v>109</v>
      </c>
      <c r="B91" t="s">
        <v>108</v>
      </c>
      <c r="C91">
        <v>901.27</v>
      </c>
      <c r="F91" t="s">
        <v>19</v>
      </c>
      <c r="G91" t="s">
        <v>75</v>
      </c>
      <c r="H91" s="8" t="s">
        <v>116</v>
      </c>
      <c r="I91" s="5">
        <v>44447</v>
      </c>
      <c r="J91" t="s">
        <v>119</v>
      </c>
      <c r="K91" t="s">
        <v>122</v>
      </c>
      <c r="L91" s="22" t="s">
        <v>58</v>
      </c>
      <c r="M91" s="8" t="s">
        <v>124</v>
      </c>
      <c r="N91" s="21" t="s">
        <v>127</v>
      </c>
    </row>
    <row r="92" spans="1:15" ht="15" x14ac:dyDescent="0.25">
      <c r="A92" t="s">
        <v>109</v>
      </c>
      <c r="B92" t="s">
        <v>108</v>
      </c>
      <c r="C92">
        <v>901.27</v>
      </c>
      <c r="F92" t="s">
        <v>19</v>
      </c>
      <c r="G92" t="s">
        <v>77</v>
      </c>
      <c r="H92" s="8" t="s">
        <v>116</v>
      </c>
      <c r="I92" s="5">
        <v>44447</v>
      </c>
      <c r="J92" t="s">
        <v>114</v>
      </c>
      <c r="K92" t="s">
        <v>113</v>
      </c>
      <c r="L92" s="22" t="s">
        <v>58</v>
      </c>
      <c r="M92" s="8" t="s">
        <v>124</v>
      </c>
      <c r="N92" s="21" t="s">
        <v>127</v>
      </c>
    </row>
    <row r="93" spans="1:15" ht="15" x14ac:dyDescent="0.25">
      <c r="A93" t="s">
        <v>109</v>
      </c>
      <c r="B93" t="s">
        <v>108</v>
      </c>
      <c r="C93">
        <v>901.27</v>
      </c>
      <c r="F93" t="s">
        <v>19</v>
      </c>
      <c r="G93" t="s">
        <v>81</v>
      </c>
      <c r="H93" s="8" t="s">
        <v>116</v>
      </c>
      <c r="I93" s="5">
        <v>44447</v>
      </c>
      <c r="J93" t="s">
        <v>23</v>
      </c>
      <c r="K93" t="s">
        <v>121</v>
      </c>
      <c r="L93" s="22">
        <v>0.129496</v>
      </c>
      <c r="M93" s="8" t="s">
        <v>124</v>
      </c>
      <c r="N93" s="21" t="s">
        <v>127</v>
      </c>
      <c r="O93" s="8" t="s">
        <v>126</v>
      </c>
    </row>
    <row r="94" spans="1:15" ht="15" x14ac:dyDescent="0.25">
      <c r="A94" t="s">
        <v>109</v>
      </c>
      <c r="B94" t="s">
        <v>108</v>
      </c>
      <c r="C94">
        <v>901.27</v>
      </c>
      <c r="F94" t="s">
        <v>19</v>
      </c>
      <c r="G94" t="s">
        <v>81</v>
      </c>
      <c r="H94" s="8" t="s">
        <v>116</v>
      </c>
      <c r="I94" s="5">
        <v>44447</v>
      </c>
      <c r="J94" t="s">
        <v>23</v>
      </c>
      <c r="K94" t="s">
        <v>121</v>
      </c>
      <c r="L94" s="22">
        <v>0.129496</v>
      </c>
      <c r="M94" s="8" t="s">
        <v>124</v>
      </c>
      <c r="N94" s="21" t="s">
        <v>127</v>
      </c>
      <c r="O94" s="8" t="s">
        <v>126</v>
      </c>
    </row>
    <row r="95" spans="1:15" ht="15" x14ac:dyDescent="0.25">
      <c r="A95" t="s">
        <v>109</v>
      </c>
      <c r="B95" t="s">
        <v>108</v>
      </c>
      <c r="C95">
        <v>901.27</v>
      </c>
      <c r="F95" t="s">
        <v>19</v>
      </c>
      <c r="G95" t="s">
        <v>81</v>
      </c>
      <c r="H95" s="8" t="s">
        <v>116</v>
      </c>
      <c r="I95" s="5">
        <v>44447</v>
      </c>
      <c r="J95" t="s">
        <v>23</v>
      </c>
      <c r="K95" t="s">
        <v>121</v>
      </c>
      <c r="L95" s="22">
        <v>0.129496</v>
      </c>
      <c r="M95" s="8" t="s">
        <v>124</v>
      </c>
      <c r="N95" s="21" t="s">
        <v>127</v>
      </c>
      <c r="O95" s="8" t="s">
        <v>126</v>
      </c>
    </row>
    <row r="96" spans="1:15" ht="15" x14ac:dyDescent="0.25">
      <c r="A96" t="s">
        <v>109</v>
      </c>
      <c r="B96" t="s">
        <v>108</v>
      </c>
      <c r="C96">
        <v>901.27</v>
      </c>
      <c r="F96" t="s">
        <v>19</v>
      </c>
      <c r="G96" t="s">
        <v>82</v>
      </c>
      <c r="H96" s="8" t="s">
        <v>116</v>
      </c>
      <c r="I96" s="5">
        <v>44447</v>
      </c>
      <c r="J96" t="s">
        <v>23</v>
      </c>
      <c r="K96" t="s">
        <v>122</v>
      </c>
      <c r="L96" s="22">
        <v>0.1</v>
      </c>
      <c r="M96" s="8" t="s">
        <v>124</v>
      </c>
      <c r="N96" s="21" t="s">
        <v>127</v>
      </c>
      <c r="O96" s="8" t="s">
        <v>126</v>
      </c>
    </row>
    <row r="97" spans="1:15" ht="15" x14ac:dyDescent="0.25">
      <c r="A97" t="s">
        <v>109</v>
      </c>
      <c r="B97" t="s">
        <v>108</v>
      </c>
      <c r="C97">
        <v>901.27</v>
      </c>
      <c r="F97" t="s">
        <v>19</v>
      </c>
      <c r="G97" t="s">
        <v>84</v>
      </c>
      <c r="H97" s="8" t="s">
        <v>116</v>
      </c>
      <c r="I97" s="5">
        <v>44447</v>
      </c>
      <c r="J97" t="s">
        <v>120</v>
      </c>
      <c r="K97" t="s">
        <v>121</v>
      </c>
      <c r="L97" s="22" t="s">
        <v>58</v>
      </c>
      <c r="M97" s="8" t="s">
        <v>124</v>
      </c>
      <c r="N97" s="21" t="s">
        <v>127</v>
      </c>
    </row>
    <row r="98" spans="1:15" ht="15" x14ac:dyDescent="0.25">
      <c r="A98" t="s">
        <v>109</v>
      </c>
      <c r="B98" t="s">
        <v>108</v>
      </c>
      <c r="C98">
        <v>901.27</v>
      </c>
      <c r="F98" t="s">
        <v>19</v>
      </c>
      <c r="G98" t="s">
        <v>90</v>
      </c>
      <c r="H98" s="8" t="s">
        <v>116</v>
      </c>
      <c r="I98" s="5">
        <v>44447</v>
      </c>
      <c r="J98" t="s">
        <v>119</v>
      </c>
      <c r="K98" t="s">
        <v>112</v>
      </c>
      <c r="L98" s="22" t="s">
        <v>58</v>
      </c>
      <c r="M98" s="8" t="s">
        <v>124</v>
      </c>
      <c r="N98" s="21" t="s">
        <v>127</v>
      </c>
    </row>
    <row r="99" spans="1:15" ht="15" x14ac:dyDescent="0.25">
      <c r="A99" t="s">
        <v>109</v>
      </c>
      <c r="B99" t="s">
        <v>108</v>
      </c>
      <c r="C99">
        <v>901.27</v>
      </c>
      <c r="F99" t="s">
        <v>19</v>
      </c>
      <c r="G99" t="s">
        <v>92</v>
      </c>
      <c r="H99" s="8" t="s">
        <v>116</v>
      </c>
      <c r="I99" s="5">
        <v>44447</v>
      </c>
      <c r="J99" t="s">
        <v>119</v>
      </c>
      <c r="K99" t="s">
        <v>122</v>
      </c>
      <c r="L99" s="22" t="s">
        <v>58</v>
      </c>
      <c r="M99" s="8" t="s">
        <v>124</v>
      </c>
      <c r="N99" s="21" t="s">
        <v>127</v>
      </c>
    </row>
    <row r="100" spans="1:15" ht="15" x14ac:dyDescent="0.25">
      <c r="A100" t="s">
        <v>109</v>
      </c>
      <c r="B100" t="s">
        <v>108</v>
      </c>
      <c r="C100">
        <v>901.27</v>
      </c>
      <c r="F100" t="s">
        <v>19</v>
      </c>
      <c r="G100" t="s">
        <v>93</v>
      </c>
      <c r="H100" s="8" t="s">
        <v>116</v>
      </c>
      <c r="I100" s="5">
        <v>44447</v>
      </c>
      <c r="J100" t="s">
        <v>23</v>
      </c>
      <c r="K100" t="s">
        <v>122</v>
      </c>
      <c r="L100" s="22">
        <v>2.6670000000000001E-3</v>
      </c>
      <c r="M100" s="8" t="s">
        <v>124</v>
      </c>
      <c r="N100" s="21" t="s">
        <v>127</v>
      </c>
      <c r="O100" s="8" t="s">
        <v>126</v>
      </c>
    </row>
    <row r="101" spans="1:15" ht="15" x14ac:dyDescent="0.25">
      <c r="A101" t="s">
        <v>109</v>
      </c>
      <c r="B101" t="s">
        <v>108</v>
      </c>
      <c r="C101">
        <v>901.27</v>
      </c>
      <c r="F101" t="s">
        <v>19</v>
      </c>
      <c r="G101" t="s">
        <v>95</v>
      </c>
      <c r="H101" s="8" t="s">
        <v>116</v>
      </c>
      <c r="I101" s="5">
        <v>44447</v>
      </c>
      <c r="J101" t="s">
        <v>114</v>
      </c>
      <c r="K101" t="s">
        <v>113</v>
      </c>
      <c r="L101" s="22" t="s">
        <v>58</v>
      </c>
      <c r="M101" s="8" t="s">
        <v>124</v>
      </c>
      <c r="N101" s="21" t="s">
        <v>127</v>
      </c>
    </row>
    <row r="102" spans="1:15" ht="15" x14ac:dyDescent="0.25">
      <c r="A102" t="s">
        <v>109</v>
      </c>
      <c r="B102" t="s">
        <v>108</v>
      </c>
      <c r="C102">
        <v>901.27</v>
      </c>
      <c r="F102" t="s">
        <v>19</v>
      </c>
      <c r="G102" t="s">
        <v>100</v>
      </c>
      <c r="H102" s="8" t="s">
        <v>116</v>
      </c>
      <c r="I102" s="5">
        <v>44447</v>
      </c>
      <c r="J102" t="s">
        <v>23</v>
      </c>
      <c r="K102" t="s">
        <v>121</v>
      </c>
      <c r="L102" s="22">
        <v>8.5999999999999993E-2</v>
      </c>
      <c r="M102" s="8" t="s">
        <v>124</v>
      </c>
      <c r="N102" s="21" t="s">
        <v>127</v>
      </c>
      <c r="O102" s="8" t="s">
        <v>125</v>
      </c>
    </row>
    <row r="103" spans="1:15" ht="15" x14ac:dyDescent="0.25">
      <c r="A103" t="s">
        <v>109</v>
      </c>
      <c r="B103" t="s">
        <v>108</v>
      </c>
      <c r="C103">
        <v>901.27</v>
      </c>
      <c r="F103" t="s">
        <v>19</v>
      </c>
      <c r="G103" t="s">
        <v>100</v>
      </c>
      <c r="H103" s="8" t="s">
        <v>116</v>
      </c>
      <c r="I103" s="5">
        <v>44447</v>
      </c>
      <c r="J103" t="s">
        <v>23</v>
      </c>
      <c r="K103" t="s">
        <v>121</v>
      </c>
      <c r="L103" s="22">
        <v>8.5999999999999993E-2</v>
      </c>
      <c r="M103" s="8" t="s">
        <v>124</v>
      </c>
      <c r="N103" s="21" t="s">
        <v>127</v>
      </c>
      <c r="O103" s="8" t="s">
        <v>125</v>
      </c>
    </row>
    <row r="104" spans="1:15" ht="15" x14ac:dyDescent="0.25">
      <c r="A104" t="s">
        <v>109</v>
      </c>
      <c r="B104" t="s">
        <v>108</v>
      </c>
      <c r="C104">
        <v>901.27</v>
      </c>
      <c r="F104" t="s">
        <v>19</v>
      </c>
      <c r="G104" t="s">
        <v>104</v>
      </c>
      <c r="H104" s="8" t="s">
        <v>116</v>
      </c>
      <c r="I104" s="5">
        <v>44447</v>
      </c>
      <c r="J104" t="s">
        <v>23</v>
      </c>
      <c r="K104" t="s">
        <v>122</v>
      </c>
      <c r="L104" s="22">
        <v>1.0999999999999999E-2</v>
      </c>
      <c r="M104" s="8" t="s">
        <v>124</v>
      </c>
      <c r="N104" s="21" t="s">
        <v>127</v>
      </c>
      <c r="O104" s="8" t="s">
        <v>126</v>
      </c>
    </row>
    <row r="105" spans="1:15" ht="15" x14ac:dyDescent="0.25">
      <c r="A105" t="s">
        <v>109</v>
      </c>
      <c r="B105" t="s">
        <v>108</v>
      </c>
      <c r="C105">
        <v>901.27</v>
      </c>
      <c r="F105" t="s">
        <v>19</v>
      </c>
      <c r="G105" t="s">
        <v>104</v>
      </c>
      <c r="H105" s="8" t="s">
        <v>116</v>
      </c>
      <c r="I105" s="5">
        <v>44447</v>
      </c>
      <c r="J105" t="s">
        <v>23</v>
      </c>
      <c r="K105" t="s">
        <v>122</v>
      </c>
      <c r="L105" s="22">
        <v>1.0999999999999999E-2</v>
      </c>
      <c r="M105" s="8" t="s">
        <v>124</v>
      </c>
      <c r="N105" s="21" t="s">
        <v>127</v>
      </c>
      <c r="O105" s="8" t="s">
        <v>126</v>
      </c>
    </row>
    <row r="106" spans="1:15" ht="15" x14ac:dyDescent="0.25">
      <c r="A106" t="s">
        <v>110</v>
      </c>
      <c r="B106" t="s">
        <v>108</v>
      </c>
      <c r="C106">
        <v>901.27</v>
      </c>
      <c r="D106" s="8" t="s">
        <v>135</v>
      </c>
      <c r="E106" t="s">
        <v>113</v>
      </c>
      <c r="F106" t="s">
        <v>19</v>
      </c>
      <c r="G106" t="s">
        <v>97</v>
      </c>
      <c r="H106" s="8" t="s">
        <v>116</v>
      </c>
      <c r="I106" s="5">
        <v>44466</v>
      </c>
      <c r="J106" t="s">
        <v>114</v>
      </c>
      <c r="K106" t="s">
        <v>113</v>
      </c>
      <c r="L106" s="22" t="s">
        <v>58</v>
      </c>
      <c r="M106" s="8" t="s">
        <v>124</v>
      </c>
      <c r="N106" s="21" t="s">
        <v>127</v>
      </c>
    </row>
    <row r="107" spans="1:15" ht="15" x14ac:dyDescent="0.25">
      <c r="A107" t="s">
        <v>110</v>
      </c>
      <c r="B107" t="s">
        <v>108</v>
      </c>
      <c r="C107">
        <v>901.27</v>
      </c>
      <c r="D107" s="8" t="s">
        <v>135</v>
      </c>
      <c r="E107" t="s">
        <v>121</v>
      </c>
      <c r="F107" t="s">
        <v>19</v>
      </c>
      <c r="G107" t="s">
        <v>98</v>
      </c>
      <c r="H107" s="8" t="s">
        <v>116</v>
      </c>
      <c r="I107" s="5">
        <v>44466</v>
      </c>
      <c r="J107" t="s">
        <v>23</v>
      </c>
      <c r="K107" t="s">
        <v>121</v>
      </c>
      <c r="L107" s="22">
        <v>6.6670000000000002E-3</v>
      </c>
      <c r="M107" s="8" t="s">
        <v>124</v>
      </c>
      <c r="N107" s="21" t="s">
        <v>127</v>
      </c>
      <c r="O107" s="8" t="s">
        <v>126</v>
      </c>
    </row>
    <row r="108" spans="1:15" ht="15" x14ac:dyDescent="0.25">
      <c r="A108" t="s">
        <v>110</v>
      </c>
      <c r="B108" t="s">
        <v>108</v>
      </c>
      <c r="C108">
        <v>901.27</v>
      </c>
      <c r="D108" s="8" t="s">
        <v>135</v>
      </c>
      <c r="E108" t="s">
        <v>121</v>
      </c>
      <c r="F108" t="s">
        <v>19</v>
      </c>
      <c r="G108" t="s">
        <v>98</v>
      </c>
      <c r="H108" s="8" t="s">
        <v>116</v>
      </c>
      <c r="I108" s="5">
        <v>44466</v>
      </c>
      <c r="J108" t="s">
        <v>23</v>
      </c>
      <c r="K108" t="s">
        <v>121</v>
      </c>
      <c r="L108" s="22">
        <v>6.6670000000000002E-3</v>
      </c>
      <c r="M108" s="8" t="s">
        <v>124</v>
      </c>
      <c r="N108" s="21" t="s">
        <v>127</v>
      </c>
      <c r="O108" s="8" t="s">
        <v>126</v>
      </c>
    </row>
    <row r="109" spans="1:15" ht="15" x14ac:dyDescent="0.25">
      <c r="A109" t="s">
        <v>111</v>
      </c>
      <c r="B109" t="s">
        <v>108</v>
      </c>
      <c r="C109">
        <v>901.27</v>
      </c>
      <c r="F109" t="s">
        <v>19</v>
      </c>
      <c r="G109" t="s">
        <v>64</v>
      </c>
      <c r="H109" s="8" t="s">
        <v>115</v>
      </c>
      <c r="I109" s="5">
        <v>44712</v>
      </c>
      <c r="J109" t="s">
        <v>23</v>
      </c>
      <c r="K109" t="s">
        <v>112</v>
      </c>
      <c r="L109" s="22">
        <v>0.03</v>
      </c>
      <c r="M109" s="8" t="s">
        <v>124</v>
      </c>
      <c r="N109" s="21" t="s">
        <v>127</v>
      </c>
      <c r="O109" s="8" t="s">
        <v>126</v>
      </c>
    </row>
    <row r="110" spans="1:15" ht="15" x14ac:dyDescent="0.25">
      <c r="A110" t="s">
        <v>111</v>
      </c>
      <c r="B110" t="s">
        <v>108</v>
      </c>
      <c r="C110">
        <v>901.27</v>
      </c>
      <c r="F110" t="s">
        <v>19</v>
      </c>
      <c r="G110" t="s">
        <v>79</v>
      </c>
      <c r="H110" s="8" t="s">
        <v>115</v>
      </c>
      <c r="I110" s="5">
        <v>44712</v>
      </c>
      <c r="J110" t="s">
        <v>114</v>
      </c>
      <c r="K110" t="s">
        <v>113</v>
      </c>
      <c r="L110" s="22" t="s">
        <v>58</v>
      </c>
      <c r="M110" s="8" t="s">
        <v>124</v>
      </c>
      <c r="N110" s="21" t="s">
        <v>127</v>
      </c>
    </row>
    <row r="111" spans="1:15" ht="15" x14ac:dyDescent="0.25">
      <c r="A111" t="s">
        <v>111</v>
      </c>
      <c r="B111" t="s">
        <v>108</v>
      </c>
      <c r="C111">
        <v>901.27</v>
      </c>
      <c r="F111" t="s">
        <v>19</v>
      </c>
      <c r="G111" t="s">
        <v>80</v>
      </c>
      <c r="H111" s="8" t="s">
        <v>115</v>
      </c>
      <c r="I111" s="5">
        <v>44712</v>
      </c>
      <c r="J111" t="s">
        <v>23</v>
      </c>
      <c r="K111" t="s">
        <v>112</v>
      </c>
      <c r="L111" s="22">
        <v>0.1575</v>
      </c>
      <c r="M111" s="8" t="s">
        <v>124</v>
      </c>
      <c r="N111" s="21" t="s">
        <v>127</v>
      </c>
      <c r="O111" s="8" t="s">
        <v>126</v>
      </c>
    </row>
    <row r="112" spans="1:15" ht="15" x14ac:dyDescent="0.25">
      <c r="A112" t="s">
        <v>111</v>
      </c>
      <c r="B112" t="s">
        <v>108</v>
      </c>
      <c r="C112">
        <v>901.27</v>
      </c>
      <c r="F112" t="s">
        <v>19</v>
      </c>
      <c r="G112" t="s">
        <v>87</v>
      </c>
      <c r="H112" s="8" t="s">
        <v>115</v>
      </c>
      <c r="I112" s="5">
        <v>44712</v>
      </c>
      <c r="J112" t="s">
        <v>119</v>
      </c>
      <c r="K112" t="s">
        <v>112</v>
      </c>
      <c r="L112" s="22" t="s">
        <v>58</v>
      </c>
      <c r="M112" s="8" t="s">
        <v>124</v>
      </c>
      <c r="N112" s="21" t="s">
        <v>127</v>
      </c>
    </row>
    <row r="113" spans="1:15" ht="15" x14ac:dyDescent="0.25">
      <c r="A113" t="s">
        <v>111</v>
      </c>
      <c r="B113" t="s">
        <v>108</v>
      </c>
      <c r="C113">
        <v>901.27</v>
      </c>
      <c r="F113" t="s">
        <v>19</v>
      </c>
      <c r="G113" t="s">
        <v>87</v>
      </c>
      <c r="H113" s="8" t="s">
        <v>115</v>
      </c>
      <c r="I113" s="5">
        <v>44712</v>
      </c>
      <c r="J113" t="s">
        <v>119</v>
      </c>
      <c r="K113" t="s">
        <v>112</v>
      </c>
      <c r="L113" s="22" t="s">
        <v>58</v>
      </c>
      <c r="M113" s="8" t="s">
        <v>124</v>
      </c>
      <c r="N113" s="21" t="s">
        <v>127</v>
      </c>
    </row>
    <row r="114" spans="1:15" ht="15" x14ac:dyDescent="0.25">
      <c r="A114" t="s">
        <v>111</v>
      </c>
      <c r="B114" t="s">
        <v>108</v>
      </c>
      <c r="C114">
        <v>901.27</v>
      </c>
      <c r="F114" t="s">
        <v>19</v>
      </c>
      <c r="G114" t="s">
        <v>102</v>
      </c>
      <c r="H114" s="8" t="s">
        <v>115</v>
      </c>
      <c r="I114" s="5">
        <v>44712</v>
      </c>
      <c r="J114" t="s">
        <v>114</v>
      </c>
      <c r="K114" t="s">
        <v>113</v>
      </c>
      <c r="L114" s="22" t="s">
        <v>58</v>
      </c>
      <c r="M114" s="8" t="s">
        <v>124</v>
      </c>
      <c r="N114" s="21" t="s">
        <v>127</v>
      </c>
    </row>
    <row r="115" spans="1:15" ht="15" x14ac:dyDescent="0.25">
      <c r="A115" t="s">
        <v>111</v>
      </c>
      <c r="B115" t="s">
        <v>108</v>
      </c>
      <c r="C115">
        <v>901.27</v>
      </c>
      <c r="F115" t="s">
        <v>19</v>
      </c>
      <c r="G115" t="s">
        <v>103</v>
      </c>
      <c r="H115" s="8" t="s">
        <v>115</v>
      </c>
      <c r="I115" s="5">
        <v>44712</v>
      </c>
      <c r="J115" t="s">
        <v>119</v>
      </c>
      <c r="K115" t="s">
        <v>113</v>
      </c>
      <c r="L115" s="22" t="s">
        <v>58</v>
      </c>
      <c r="M115" s="8" t="s">
        <v>124</v>
      </c>
      <c r="N115" s="21" t="s">
        <v>127</v>
      </c>
    </row>
    <row r="116" spans="1:15" ht="15" x14ac:dyDescent="0.25">
      <c r="A116" t="s">
        <v>111</v>
      </c>
      <c r="B116" t="s">
        <v>108</v>
      </c>
      <c r="C116">
        <v>901.27</v>
      </c>
      <c r="F116" t="s">
        <v>19</v>
      </c>
      <c r="G116" t="s">
        <v>85</v>
      </c>
      <c r="H116" s="8" t="s">
        <v>115</v>
      </c>
      <c r="I116" s="5">
        <v>44729</v>
      </c>
      <c r="J116" t="s">
        <v>119</v>
      </c>
      <c r="K116" t="s">
        <v>112</v>
      </c>
      <c r="L116" s="22" t="s">
        <v>58</v>
      </c>
      <c r="M116" s="8" t="s">
        <v>124</v>
      </c>
      <c r="N116" s="21" t="s">
        <v>127</v>
      </c>
    </row>
    <row r="117" spans="1:15" ht="15" x14ac:dyDescent="0.25">
      <c r="A117" t="s">
        <v>109</v>
      </c>
      <c r="B117" t="s">
        <v>108</v>
      </c>
      <c r="C117">
        <v>901.27</v>
      </c>
      <c r="D117"/>
      <c r="F117" t="s">
        <v>19</v>
      </c>
      <c r="G117" t="s">
        <v>60</v>
      </c>
      <c r="H117" s="8" t="s">
        <v>115</v>
      </c>
      <c r="I117" s="5">
        <v>44734</v>
      </c>
      <c r="J117" t="s">
        <v>23</v>
      </c>
      <c r="K117" t="s">
        <v>112</v>
      </c>
      <c r="L117" s="22">
        <v>0.08</v>
      </c>
      <c r="M117" s="8" t="s">
        <v>124</v>
      </c>
      <c r="N117" s="21" t="s">
        <v>127</v>
      </c>
      <c r="O117" s="8" t="s">
        <v>126</v>
      </c>
    </row>
    <row r="118" spans="1:15" ht="15" x14ac:dyDescent="0.25">
      <c r="A118" t="s">
        <v>109</v>
      </c>
      <c r="B118" t="s">
        <v>108</v>
      </c>
      <c r="C118">
        <v>901.27</v>
      </c>
      <c r="F118" t="s">
        <v>19</v>
      </c>
      <c r="G118" t="s">
        <v>81</v>
      </c>
      <c r="H118" s="8" t="s">
        <v>115</v>
      </c>
      <c r="I118" s="5">
        <v>44734</v>
      </c>
      <c r="J118" t="s">
        <v>23</v>
      </c>
      <c r="K118" t="s">
        <v>122</v>
      </c>
      <c r="L118" s="22">
        <v>7.102E-2</v>
      </c>
      <c r="M118" s="8" t="s">
        <v>124</v>
      </c>
      <c r="N118" s="21" t="s">
        <v>127</v>
      </c>
      <c r="O118" s="8" t="s">
        <v>126</v>
      </c>
    </row>
    <row r="119" spans="1:15" ht="15" x14ac:dyDescent="0.25">
      <c r="A119" t="s">
        <v>109</v>
      </c>
      <c r="B119" t="s">
        <v>108</v>
      </c>
      <c r="C119">
        <v>901.27</v>
      </c>
      <c r="F119" t="s">
        <v>19</v>
      </c>
      <c r="G119" t="s">
        <v>81</v>
      </c>
      <c r="H119" s="8" t="s">
        <v>115</v>
      </c>
      <c r="I119" s="5">
        <v>44734</v>
      </c>
      <c r="J119" t="s">
        <v>23</v>
      </c>
      <c r="K119" t="s">
        <v>122</v>
      </c>
      <c r="L119" s="22">
        <v>7.102E-2</v>
      </c>
      <c r="M119" s="8" t="s">
        <v>124</v>
      </c>
      <c r="N119" s="21" t="s">
        <v>127</v>
      </c>
      <c r="O119" s="8" t="s">
        <v>126</v>
      </c>
    </row>
    <row r="120" spans="1:15" ht="15" x14ac:dyDescent="0.25">
      <c r="A120" t="s">
        <v>109</v>
      </c>
      <c r="B120" t="s">
        <v>108</v>
      </c>
      <c r="C120">
        <v>901.27</v>
      </c>
      <c r="F120" t="s">
        <v>19</v>
      </c>
      <c r="G120" t="s">
        <v>81</v>
      </c>
      <c r="H120" s="8" t="s">
        <v>115</v>
      </c>
      <c r="I120" s="5">
        <v>44734</v>
      </c>
      <c r="J120" t="s">
        <v>23</v>
      </c>
      <c r="K120" t="s">
        <v>122</v>
      </c>
      <c r="L120" s="22">
        <v>7.102E-2</v>
      </c>
      <c r="M120" s="8" t="s">
        <v>124</v>
      </c>
      <c r="N120" s="21" t="s">
        <v>127</v>
      </c>
      <c r="O120" s="8" t="s">
        <v>126</v>
      </c>
    </row>
    <row r="121" spans="1:15" ht="15" x14ac:dyDescent="0.25">
      <c r="A121" t="s">
        <v>110</v>
      </c>
      <c r="B121" t="s">
        <v>108</v>
      </c>
      <c r="C121">
        <v>901.27</v>
      </c>
      <c r="D121" s="8" t="s">
        <v>135</v>
      </c>
      <c r="E121" t="s">
        <v>121</v>
      </c>
      <c r="F121" t="s">
        <v>19</v>
      </c>
      <c r="G121" t="s">
        <v>98</v>
      </c>
      <c r="H121" s="8" t="s">
        <v>115</v>
      </c>
      <c r="I121" s="5">
        <v>44734</v>
      </c>
      <c r="J121" t="s">
        <v>23</v>
      </c>
      <c r="K121" t="s">
        <v>121</v>
      </c>
      <c r="L121" s="22">
        <v>1.5E-3</v>
      </c>
      <c r="M121" s="8" t="s">
        <v>124</v>
      </c>
      <c r="N121" s="21" t="s">
        <v>127</v>
      </c>
      <c r="O121" s="8" t="s">
        <v>126</v>
      </c>
    </row>
    <row r="122" spans="1:15" ht="15" x14ac:dyDescent="0.25">
      <c r="A122" t="s">
        <v>110</v>
      </c>
      <c r="B122" t="s">
        <v>108</v>
      </c>
      <c r="C122">
        <v>901.27</v>
      </c>
      <c r="D122" s="8" t="s">
        <v>135</v>
      </c>
      <c r="E122" t="s">
        <v>121</v>
      </c>
      <c r="F122" t="s">
        <v>19</v>
      </c>
      <c r="G122" t="s">
        <v>98</v>
      </c>
      <c r="H122" s="8" t="s">
        <v>115</v>
      </c>
      <c r="I122" s="5">
        <v>44734</v>
      </c>
      <c r="J122" t="s">
        <v>23</v>
      </c>
      <c r="K122" t="s">
        <v>121</v>
      </c>
      <c r="L122" s="22">
        <v>1.5E-3</v>
      </c>
      <c r="M122" s="8" t="s">
        <v>124</v>
      </c>
      <c r="N122" s="21" t="s">
        <v>127</v>
      </c>
      <c r="O122" s="8" t="s">
        <v>126</v>
      </c>
    </row>
    <row r="123" spans="1:15" ht="15" x14ac:dyDescent="0.25">
      <c r="A123" t="s">
        <v>109</v>
      </c>
      <c r="B123" t="s">
        <v>108</v>
      </c>
      <c r="C123">
        <v>901.27</v>
      </c>
      <c r="F123" t="s">
        <v>19</v>
      </c>
      <c r="G123" t="s">
        <v>100</v>
      </c>
      <c r="H123" s="8" t="s">
        <v>115</v>
      </c>
      <c r="I123" s="5">
        <v>44734</v>
      </c>
      <c r="J123" t="s">
        <v>23</v>
      </c>
      <c r="K123" t="s">
        <v>121</v>
      </c>
      <c r="L123" s="22">
        <v>9.2975000000000002E-2</v>
      </c>
      <c r="M123" s="8" t="s">
        <v>124</v>
      </c>
      <c r="N123" s="21" t="s">
        <v>127</v>
      </c>
      <c r="O123" s="8" t="s">
        <v>126</v>
      </c>
    </row>
    <row r="124" spans="1:15" ht="15" x14ac:dyDescent="0.25">
      <c r="A124" t="s">
        <v>109</v>
      </c>
      <c r="B124" t="s">
        <v>108</v>
      </c>
      <c r="C124">
        <v>901.27</v>
      </c>
      <c r="F124" t="s">
        <v>19</v>
      </c>
      <c r="G124" t="s">
        <v>100</v>
      </c>
      <c r="H124" s="8" t="s">
        <v>115</v>
      </c>
      <c r="I124" s="5">
        <v>44734</v>
      </c>
      <c r="J124" t="s">
        <v>23</v>
      </c>
      <c r="K124" t="s">
        <v>121</v>
      </c>
      <c r="L124" s="22">
        <v>9.2975000000000002E-2</v>
      </c>
      <c r="M124" s="8" t="s">
        <v>124</v>
      </c>
      <c r="N124" s="21" t="s">
        <v>127</v>
      </c>
      <c r="O124" s="8" t="s">
        <v>126</v>
      </c>
    </row>
    <row r="125" spans="1:15" ht="15" x14ac:dyDescent="0.25">
      <c r="A125" t="s">
        <v>110</v>
      </c>
      <c r="B125" t="s">
        <v>108</v>
      </c>
      <c r="C125">
        <v>901.27</v>
      </c>
      <c r="D125" s="8" t="s">
        <v>135</v>
      </c>
      <c r="E125" t="s">
        <v>113</v>
      </c>
      <c r="F125" t="s">
        <v>19</v>
      </c>
      <c r="G125" t="s">
        <v>130</v>
      </c>
      <c r="H125" s="8" t="s">
        <v>115</v>
      </c>
      <c r="I125" s="5">
        <v>44734</v>
      </c>
      <c r="J125" t="s">
        <v>23</v>
      </c>
      <c r="K125" t="s">
        <v>113</v>
      </c>
      <c r="L125" s="22">
        <v>8.0000000000000002E-3</v>
      </c>
      <c r="M125" s="8" t="s">
        <v>124</v>
      </c>
      <c r="N125" s="21" t="s">
        <v>127</v>
      </c>
      <c r="O125" s="8" t="s">
        <v>125</v>
      </c>
    </row>
    <row r="126" spans="1:15" ht="15" x14ac:dyDescent="0.25">
      <c r="A126" t="s">
        <v>109</v>
      </c>
      <c r="B126" t="s">
        <v>108</v>
      </c>
      <c r="C126">
        <v>901.27</v>
      </c>
      <c r="F126" t="s">
        <v>19</v>
      </c>
      <c r="G126" t="s">
        <v>61</v>
      </c>
      <c r="H126" s="8" t="s">
        <v>115</v>
      </c>
      <c r="I126" s="5">
        <v>44740</v>
      </c>
      <c r="J126" t="s">
        <v>114</v>
      </c>
      <c r="K126" t="s">
        <v>113</v>
      </c>
      <c r="L126" s="22" t="s">
        <v>58</v>
      </c>
      <c r="M126" s="8" t="s">
        <v>124</v>
      </c>
      <c r="N126" s="21" t="s">
        <v>127</v>
      </c>
    </row>
    <row r="127" spans="1:15" ht="15" x14ac:dyDescent="0.25">
      <c r="A127" t="s">
        <v>109</v>
      </c>
      <c r="B127" t="s">
        <v>108</v>
      </c>
      <c r="C127">
        <v>901.27</v>
      </c>
      <c r="F127" t="s">
        <v>19</v>
      </c>
      <c r="G127" t="s">
        <v>82</v>
      </c>
      <c r="H127" s="8" t="s">
        <v>115</v>
      </c>
      <c r="I127" s="5">
        <v>44740</v>
      </c>
      <c r="J127" t="s">
        <v>119</v>
      </c>
      <c r="K127" t="s">
        <v>112</v>
      </c>
      <c r="L127" s="22" t="s">
        <v>58</v>
      </c>
      <c r="M127" s="8" t="s">
        <v>124</v>
      </c>
      <c r="N127" s="21" t="s">
        <v>127</v>
      </c>
    </row>
    <row r="128" spans="1:15" ht="15" x14ac:dyDescent="0.25">
      <c r="A128" t="s">
        <v>109</v>
      </c>
      <c r="B128" t="s">
        <v>108</v>
      </c>
      <c r="C128">
        <v>901.27</v>
      </c>
      <c r="F128" t="s">
        <v>19</v>
      </c>
      <c r="G128" t="s">
        <v>83</v>
      </c>
      <c r="H128" s="8" t="s">
        <v>115</v>
      </c>
      <c r="I128" s="5">
        <v>44740</v>
      </c>
      <c r="J128" t="s">
        <v>114</v>
      </c>
      <c r="K128" t="s">
        <v>113</v>
      </c>
      <c r="L128" s="22" t="s">
        <v>58</v>
      </c>
      <c r="M128" s="8" t="s">
        <v>124</v>
      </c>
      <c r="N128" s="21" t="s">
        <v>127</v>
      </c>
    </row>
    <row r="129" spans="1:15" ht="15" x14ac:dyDescent="0.25">
      <c r="A129" t="s">
        <v>109</v>
      </c>
      <c r="B129" t="s">
        <v>108</v>
      </c>
      <c r="C129">
        <v>901.27</v>
      </c>
      <c r="F129" t="s">
        <v>19</v>
      </c>
      <c r="G129" t="s">
        <v>84</v>
      </c>
      <c r="H129" s="8" t="s">
        <v>115</v>
      </c>
      <c r="I129" s="5">
        <v>44740</v>
      </c>
      <c r="J129" t="s">
        <v>23</v>
      </c>
      <c r="K129" t="s">
        <v>122</v>
      </c>
      <c r="L129" s="22">
        <v>5.7689999999999998E-3</v>
      </c>
      <c r="M129" s="8" t="s">
        <v>124</v>
      </c>
      <c r="N129" s="21" t="s">
        <v>127</v>
      </c>
      <c r="O129" s="8" t="s">
        <v>126</v>
      </c>
    </row>
    <row r="130" spans="1:15" ht="15" x14ac:dyDescent="0.25">
      <c r="A130" t="s">
        <v>109</v>
      </c>
      <c r="B130" t="s">
        <v>108</v>
      </c>
      <c r="C130">
        <v>901.27</v>
      </c>
      <c r="F130" t="s">
        <v>19</v>
      </c>
      <c r="G130" t="s">
        <v>88</v>
      </c>
      <c r="H130" s="8" t="s">
        <v>115</v>
      </c>
      <c r="I130" s="5">
        <v>44740</v>
      </c>
      <c r="J130" t="s">
        <v>114</v>
      </c>
      <c r="K130" t="s">
        <v>113</v>
      </c>
      <c r="L130" s="22" t="s">
        <v>58</v>
      </c>
      <c r="M130" s="8" t="s">
        <v>124</v>
      </c>
      <c r="N130" s="21" t="s">
        <v>127</v>
      </c>
    </row>
    <row r="131" spans="1:15" ht="15" x14ac:dyDescent="0.25">
      <c r="A131" t="s">
        <v>109</v>
      </c>
      <c r="B131" t="s">
        <v>108</v>
      </c>
      <c r="C131">
        <v>901.27</v>
      </c>
      <c r="F131" t="s">
        <v>19</v>
      </c>
      <c r="G131" t="s">
        <v>99</v>
      </c>
      <c r="H131" s="8" t="s">
        <v>115</v>
      </c>
      <c r="I131" s="5">
        <v>44740</v>
      </c>
      <c r="J131" t="s">
        <v>23</v>
      </c>
      <c r="K131" t="s">
        <v>113</v>
      </c>
      <c r="L131" s="22" t="s">
        <v>58</v>
      </c>
      <c r="M131" s="8" t="s">
        <v>124</v>
      </c>
      <c r="N131" s="21" t="s">
        <v>127</v>
      </c>
    </row>
    <row r="132" spans="1:15" ht="15" x14ac:dyDescent="0.25">
      <c r="A132" t="s">
        <v>110</v>
      </c>
      <c r="B132" t="s">
        <v>108</v>
      </c>
      <c r="C132">
        <v>901.27</v>
      </c>
      <c r="D132" s="8" t="s">
        <v>135</v>
      </c>
      <c r="E132" t="s">
        <v>121</v>
      </c>
      <c r="F132" t="s">
        <v>19</v>
      </c>
      <c r="G132" t="s">
        <v>62</v>
      </c>
      <c r="H132" s="8" t="s">
        <v>115</v>
      </c>
      <c r="I132" s="5">
        <v>44754</v>
      </c>
      <c r="J132" t="s">
        <v>119</v>
      </c>
      <c r="K132" t="s">
        <v>121</v>
      </c>
      <c r="L132" s="22" t="s">
        <v>58</v>
      </c>
      <c r="M132" s="8" t="s">
        <v>124</v>
      </c>
      <c r="N132" s="21" t="s">
        <v>127</v>
      </c>
    </row>
    <row r="133" spans="1:15" ht="15" x14ac:dyDescent="0.25">
      <c r="A133" t="s">
        <v>110</v>
      </c>
      <c r="B133" t="s">
        <v>108</v>
      </c>
      <c r="C133">
        <v>901.27</v>
      </c>
      <c r="D133" s="8" t="s">
        <v>135</v>
      </c>
      <c r="E133" t="s">
        <v>113</v>
      </c>
      <c r="F133" t="s">
        <v>19</v>
      </c>
      <c r="G133" t="s">
        <v>71</v>
      </c>
      <c r="H133" s="8" t="s">
        <v>115</v>
      </c>
      <c r="I133" s="5">
        <v>44754</v>
      </c>
      <c r="J133" t="s">
        <v>114</v>
      </c>
      <c r="K133" t="s">
        <v>113</v>
      </c>
      <c r="L133" s="22" t="s">
        <v>58</v>
      </c>
      <c r="M133" s="8" t="s">
        <v>124</v>
      </c>
      <c r="N133" s="21" t="s">
        <v>127</v>
      </c>
    </row>
    <row r="134" spans="1:15" ht="15" x14ac:dyDescent="0.25">
      <c r="A134" t="s">
        <v>110</v>
      </c>
      <c r="B134" t="s">
        <v>108</v>
      </c>
      <c r="C134">
        <v>901.27</v>
      </c>
      <c r="D134" s="8" t="s">
        <v>135</v>
      </c>
      <c r="E134" t="s">
        <v>113</v>
      </c>
      <c r="F134" t="s">
        <v>19</v>
      </c>
      <c r="G134" t="s">
        <v>86</v>
      </c>
      <c r="H134" s="8" t="s">
        <v>115</v>
      </c>
      <c r="I134" s="5">
        <v>44754</v>
      </c>
      <c r="J134" t="s">
        <v>114</v>
      </c>
      <c r="K134" t="s">
        <v>113</v>
      </c>
      <c r="L134" s="22" t="s">
        <v>58</v>
      </c>
      <c r="M134" s="8" t="s">
        <v>124</v>
      </c>
      <c r="N134" s="21" t="s">
        <v>127</v>
      </c>
    </row>
    <row r="135" spans="1:15" ht="15" x14ac:dyDescent="0.25">
      <c r="A135" t="s">
        <v>110</v>
      </c>
      <c r="B135" t="s">
        <v>108</v>
      </c>
      <c r="C135">
        <v>901.27</v>
      </c>
      <c r="D135" s="8" t="s">
        <v>135</v>
      </c>
      <c r="E135" t="s">
        <v>113</v>
      </c>
      <c r="F135" t="s">
        <v>19</v>
      </c>
      <c r="G135" t="s">
        <v>86</v>
      </c>
      <c r="H135" s="8" t="s">
        <v>115</v>
      </c>
      <c r="I135" s="5">
        <v>44754</v>
      </c>
      <c r="J135" t="s">
        <v>114</v>
      </c>
      <c r="K135" t="s">
        <v>113</v>
      </c>
      <c r="L135" s="22" t="s">
        <v>58</v>
      </c>
      <c r="M135" s="8" t="s">
        <v>124</v>
      </c>
      <c r="N135" s="21" t="s">
        <v>127</v>
      </c>
    </row>
    <row r="136" spans="1:15" ht="15" x14ac:dyDescent="0.25">
      <c r="A136" t="s">
        <v>110</v>
      </c>
      <c r="B136" t="s">
        <v>108</v>
      </c>
      <c r="C136">
        <v>901.27</v>
      </c>
      <c r="D136" s="8" t="s">
        <v>135</v>
      </c>
      <c r="E136" t="s">
        <v>113</v>
      </c>
      <c r="F136" t="s">
        <v>19</v>
      </c>
      <c r="G136" t="s">
        <v>128</v>
      </c>
      <c r="H136" s="8" t="s">
        <v>115</v>
      </c>
      <c r="I136" s="5">
        <v>44754</v>
      </c>
      <c r="J136" t="s">
        <v>23</v>
      </c>
      <c r="K136" t="s">
        <v>113</v>
      </c>
      <c r="L136" s="22" t="s">
        <v>58</v>
      </c>
      <c r="M136" s="8" t="s">
        <v>124</v>
      </c>
      <c r="N136" s="21" t="s">
        <v>127</v>
      </c>
    </row>
    <row r="137" spans="1:15" ht="15" x14ac:dyDescent="0.25">
      <c r="A137" t="s">
        <v>110</v>
      </c>
      <c r="B137" t="s">
        <v>108</v>
      </c>
      <c r="C137">
        <v>901.27</v>
      </c>
      <c r="D137" s="8" t="s">
        <v>135</v>
      </c>
      <c r="E137" t="s">
        <v>113</v>
      </c>
      <c r="F137" t="s">
        <v>19</v>
      </c>
      <c r="G137" t="s">
        <v>129</v>
      </c>
      <c r="H137" s="8" t="s">
        <v>115</v>
      </c>
      <c r="I137" s="5">
        <v>44754</v>
      </c>
      <c r="J137" t="s">
        <v>114</v>
      </c>
      <c r="K137" t="s">
        <v>113</v>
      </c>
      <c r="L137" s="22" t="s">
        <v>58</v>
      </c>
      <c r="M137" s="8" t="s">
        <v>124</v>
      </c>
      <c r="N137" s="21" t="s">
        <v>127</v>
      </c>
    </row>
    <row r="138" spans="1:15" ht="15" x14ac:dyDescent="0.25">
      <c r="A138" t="s">
        <v>110</v>
      </c>
      <c r="B138" t="s">
        <v>108</v>
      </c>
      <c r="C138">
        <v>901.27</v>
      </c>
      <c r="D138" s="8" t="s">
        <v>135</v>
      </c>
      <c r="E138" t="s">
        <v>113</v>
      </c>
      <c r="F138" t="s">
        <v>19</v>
      </c>
      <c r="G138" t="s">
        <v>131</v>
      </c>
      <c r="H138" s="8" t="s">
        <v>115</v>
      </c>
      <c r="I138" s="5">
        <v>44754</v>
      </c>
      <c r="J138" t="s">
        <v>114</v>
      </c>
      <c r="K138" t="s">
        <v>113</v>
      </c>
      <c r="L138" s="22" t="s">
        <v>58</v>
      </c>
      <c r="M138" s="8" t="s">
        <v>124</v>
      </c>
      <c r="N138" s="21" t="s">
        <v>127</v>
      </c>
    </row>
    <row r="139" spans="1:15" ht="15" x14ac:dyDescent="0.25">
      <c r="A139" t="s">
        <v>110</v>
      </c>
      <c r="B139" t="s">
        <v>108</v>
      </c>
      <c r="C139">
        <v>901.27</v>
      </c>
      <c r="D139" s="8" t="s">
        <v>134</v>
      </c>
      <c r="E139" t="s">
        <v>113</v>
      </c>
      <c r="F139" t="s">
        <v>19</v>
      </c>
      <c r="G139" t="s">
        <v>132</v>
      </c>
      <c r="H139" s="8" t="s">
        <v>115</v>
      </c>
      <c r="I139" s="5">
        <v>44754</v>
      </c>
      <c r="J139" t="s">
        <v>114</v>
      </c>
      <c r="K139" t="s">
        <v>113</v>
      </c>
      <c r="L139" s="22" t="s">
        <v>58</v>
      </c>
      <c r="M139" s="8" t="s">
        <v>124</v>
      </c>
      <c r="N139" s="21" t="s">
        <v>127</v>
      </c>
    </row>
    <row r="140" spans="1:15" ht="15" x14ac:dyDescent="0.25">
      <c r="A140" t="s">
        <v>110</v>
      </c>
      <c r="B140" t="s">
        <v>108</v>
      </c>
      <c r="C140">
        <v>901.27</v>
      </c>
      <c r="D140" s="8" t="s">
        <v>134</v>
      </c>
      <c r="E140" t="s">
        <v>113</v>
      </c>
      <c r="F140" t="s">
        <v>19</v>
      </c>
      <c r="G140" t="s">
        <v>133</v>
      </c>
      <c r="H140" s="8" t="s">
        <v>115</v>
      </c>
      <c r="I140" s="5">
        <v>44754</v>
      </c>
      <c r="J140" t="s">
        <v>114</v>
      </c>
      <c r="K140" t="s">
        <v>113</v>
      </c>
      <c r="L140" s="22" t="s">
        <v>58</v>
      </c>
      <c r="M140" s="8" t="s">
        <v>124</v>
      </c>
      <c r="N140" s="21" t="s">
        <v>127</v>
      </c>
    </row>
    <row r="141" spans="1:15" ht="15" x14ac:dyDescent="0.25">
      <c r="A141" t="s">
        <v>109</v>
      </c>
      <c r="B141" t="s">
        <v>108</v>
      </c>
      <c r="C141">
        <v>901.27</v>
      </c>
      <c r="F141" t="s">
        <v>19</v>
      </c>
      <c r="G141" t="s">
        <v>63</v>
      </c>
      <c r="H141" s="8" t="s">
        <v>115</v>
      </c>
      <c r="I141" s="5">
        <v>44755</v>
      </c>
      <c r="J141" t="s">
        <v>114</v>
      </c>
      <c r="K141" t="s">
        <v>113</v>
      </c>
      <c r="L141" s="22" t="s">
        <v>58</v>
      </c>
      <c r="M141" s="8" t="s">
        <v>124</v>
      </c>
      <c r="N141" s="21" t="s">
        <v>127</v>
      </c>
    </row>
    <row r="142" spans="1:15" ht="15" x14ac:dyDescent="0.25">
      <c r="A142" t="s">
        <v>109</v>
      </c>
      <c r="B142" t="s">
        <v>108</v>
      </c>
      <c r="C142">
        <v>901.27</v>
      </c>
      <c r="F142" t="s">
        <v>19</v>
      </c>
      <c r="G142" t="s">
        <v>66</v>
      </c>
      <c r="H142" s="8" t="s">
        <v>115</v>
      </c>
      <c r="I142" s="5">
        <v>44755</v>
      </c>
      <c r="J142" t="s">
        <v>119</v>
      </c>
      <c r="K142" t="s">
        <v>113</v>
      </c>
      <c r="L142" s="22" t="s">
        <v>58</v>
      </c>
      <c r="M142" s="8" t="s">
        <v>124</v>
      </c>
      <c r="N142" s="21" t="s">
        <v>127</v>
      </c>
    </row>
    <row r="143" spans="1:15" ht="15" x14ac:dyDescent="0.25">
      <c r="A143" t="s">
        <v>109</v>
      </c>
      <c r="B143" t="s">
        <v>108</v>
      </c>
      <c r="C143">
        <v>901.27</v>
      </c>
      <c r="F143" t="s">
        <v>19</v>
      </c>
      <c r="G143" t="s">
        <v>67</v>
      </c>
      <c r="H143" s="8" t="s">
        <v>115</v>
      </c>
      <c r="I143" s="5">
        <v>44755</v>
      </c>
      <c r="J143" t="s">
        <v>119</v>
      </c>
      <c r="K143" t="s">
        <v>112</v>
      </c>
      <c r="L143" s="22" t="s">
        <v>58</v>
      </c>
      <c r="M143" s="8" t="s">
        <v>124</v>
      </c>
      <c r="N143" s="21" t="s">
        <v>127</v>
      </c>
    </row>
    <row r="144" spans="1:15" ht="15" x14ac:dyDescent="0.25">
      <c r="A144" t="s">
        <v>109</v>
      </c>
      <c r="B144" t="s">
        <v>108</v>
      </c>
      <c r="C144">
        <v>901.27</v>
      </c>
      <c r="F144" t="s">
        <v>19</v>
      </c>
      <c r="G144" t="s">
        <v>68</v>
      </c>
      <c r="H144" s="8" t="s">
        <v>115</v>
      </c>
      <c r="I144" s="5">
        <v>44755</v>
      </c>
      <c r="J144" t="s">
        <v>119</v>
      </c>
      <c r="K144" t="s">
        <v>113</v>
      </c>
      <c r="L144" s="22" t="s">
        <v>58</v>
      </c>
      <c r="M144" s="8" t="s">
        <v>124</v>
      </c>
      <c r="N144" s="21" t="s">
        <v>127</v>
      </c>
    </row>
    <row r="145" spans="1:15" ht="15" x14ac:dyDescent="0.25">
      <c r="A145" t="s">
        <v>110</v>
      </c>
      <c r="B145" t="s">
        <v>108</v>
      </c>
      <c r="C145">
        <v>901.27</v>
      </c>
      <c r="D145" s="8" t="s">
        <v>135</v>
      </c>
      <c r="E145" t="s">
        <v>113</v>
      </c>
      <c r="F145" t="s">
        <v>19</v>
      </c>
      <c r="G145" t="s">
        <v>69</v>
      </c>
      <c r="H145" s="8" t="s">
        <v>115</v>
      </c>
      <c r="I145" s="5">
        <v>44755</v>
      </c>
      <c r="J145" t="s">
        <v>114</v>
      </c>
      <c r="K145" t="s">
        <v>113</v>
      </c>
      <c r="L145" s="22" t="s">
        <v>58</v>
      </c>
      <c r="M145" s="8" t="s">
        <v>124</v>
      </c>
      <c r="N145" s="21" t="s">
        <v>127</v>
      </c>
    </row>
    <row r="146" spans="1:15" ht="15" x14ac:dyDescent="0.25">
      <c r="A146" t="s">
        <v>110</v>
      </c>
      <c r="B146" t="s">
        <v>108</v>
      </c>
      <c r="C146">
        <v>901.27</v>
      </c>
      <c r="D146" s="8" t="s">
        <v>135</v>
      </c>
      <c r="E146" t="s">
        <v>113</v>
      </c>
      <c r="F146" t="s">
        <v>19</v>
      </c>
      <c r="G146" t="s">
        <v>69</v>
      </c>
      <c r="H146" s="8" t="s">
        <v>115</v>
      </c>
      <c r="I146" s="5">
        <v>44755</v>
      </c>
      <c r="J146" t="s">
        <v>114</v>
      </c>
      <c r="K146" t="s">
        <v>113</v>
      </c>
      <c r="L146" s="22" t="s">
        <v>58</v>
      </c>
      <c r="M146" s="8" t="s">
        <v>124</v>
      </c>
      <c r="N146" s="21" t="s">
        <v>127</v>
      </c>
    </row>
    <row r="147" spans="1:15" ht="15" x14ac:dyDescent="0.25">
      <c r="A147" t="s">
        <v>110</v>
      </c>
      <c r="B147" t="s">
        <v>108</v>
      </c>
      <c r="C147">
        <v>901.27</v>
      </c>
      <c r="D147" s="8" t="s">
        <v>135</v>
      </c>
      <c r="E147" t="s">
        <v>113</v>
      </c>
      <c r="F147" t="s">
        <v>19</v>
      </c>
      <c r="G147" t="s">
        <v>72</v>
      </c>
      <c r="H147" s="8" t="s">
        <v>115</v>
      </c>
      <c r="I147" s="5">
        <v>44755</v>
      </c>
      <c r="J147" t="s">
        <v>114</v>
      </c>
      <c r="K147" t="s">
        <v>113</v>
      </c>
      <c r="L147" s="22" t="s">
        <v>58</v>
      </c>
      <c r="M147" s="8" t="s">
        <v>124</v>
      </c>
      <c r="N147" s="21" t="s">
        <v>127</v>
      </c>
    </row>
    <row r="148" spans="1:15" ht="15" x14ac:dyDescent="0.25">
      <c r="A148" t="s">
        <v>109</v>
      </c>
      <c r="B148" t="s">
        <v>108</v>
      </c>
      <c r="C148">
        <v>901.27</v>
      </c>
      <c r="F148" t="s">
        <v>19</v>
      </c>
      <c r="G148" t="s">
        <v>73</v>
      </c>
      <c r="H148" s="8" t="s">
        <v>115</v>
      </c>
      <c r="I148" s="5">
        <v>44755</v>
      </c>
      <c r="J148" t="s">
        <v>119</v>
      </c>
      <c r="K148" t="s">
        <v>113</v>
      </c>
      <c r="L148" s="22" t="s">
        <v>58</v>
      </c>
      <c r="M148" s="8" t="s">
        <v>124</v>
      </c>
      <c r="N148" s="21" t="s">
        <v>127</v>
      </c>
    </row>
    <row r="149" spans="1:15" ht="15" x14ac:dyDescent="0.25">
      <c r="A149" t="s">
        <v>109</v>
      </c>
      <c r="B149" t="s">
        <v>108</v>
      </c>
      <c r="C149">
        <v>901.27</v>
      </c>
      <c r="F149" t="s">
        <v>19</v>
      </c>
      <c r="G149" t="s">
        <v>75</v>
      </c>
      <c r="H149" s="8" t="s">
        <v>115</v>
      </c>
      <c r="I149" s="5">
        <v>44755</v>
      </c>
      <c r="J149" t="s">
        <v>114</v>
      </c>
      <c r="K149" t="s">
        <v>113</v>
      </c>
      <c r="L149" s="22" t="s">
        <v>58</v>
      </c>
      <c r="M149" s="8" t="s">
        <v>124</v>
      </c>
      <c r="N149" s="21" t="s">
        <v>127</v>
      </c>
    </row>
    <row r="150" spans="1:15" ht="15" x14ac:dyDescent="0.25">
      <c r="A150" t="s">
        <v>109</v>
      </c>
      <c r="B150" t="s">
        <v>108</v>
      </c>
      <c r="C150">
        <v>901.27</v>
      </c>
      <c r="F150" t="s">
        <v>19</v>
      </c>
      <c r="G150" t="s">
        <v>89</v>
      </c>
      <c r="H150" s="8" t="s">
        <v>115</v>
      </c>
      <c r="I150" s="5">
        <v>44755</v>
      </c>
      <c r="J150" t="s">
        <v>114</v>
      </c>
      <c r="K150" t="s">
        <v>113</v>
      </c>
      <c r="L150" s="22" t="s">
        <v>58</v>
      </c>
      <c r="M150" s="8" t="s">
        <v>124</v>
      </c>
      <c r="N150" s="21" t="s">
        <v>127</v>
      </c>
    </row>
    <row r="151" spans="1:15" ht="15" x14ac:dyDescent="0.25">
      <c r="A151" t="s">
        <v>109</v>
      </c>
      <c r="B151" t="s">
        <v>108</v>
      </c>
      <c r="C151">
        <v>901.27</v>
      </c>
      <c r="F151" t="s">
        <v>19</v>
      </c>
      <c r="G151" t="s">
        <v>91</v>
      </c>
      <c r="H151" s="8" t="s">
        <v>115</v>
      </c>
      <c r="I151" s="5">
        <v>44755</v>
      </c>
      <c r="J151" t="s">
        <v>23</v>
      </c>
      <c r="K151" t="s">
        <v>113</v>
      </c>
      <c r="L151" s="22">
        <v>1.6E-2</v>
      </c>
      <c r="M151" s="8" t="s">
        <v>124</v>
      </c>
      <c r="N151" s="21" t="s">
        <v>127</v>
      </c>
      <c r="O151" s="8" t="s">
        <v>125</v>
      </c>
    </row>
    <row r="152" spans="1:15" ht="15" x14ac:dyDescent="0.25">
      <c r="A152" t="s">
        <v>109</v>
      </c>
      <c r="B152" t="s">
        <v>108</v>
      </c>
      <c r="C152">
        <v>901.27</v>
      </c>
      <c r="F152" t="s">
        <v>19</v>
      </c>
      <c r="G152" t="s">
        <v>94</v>
      </c>
      <c r="H152" s="8" t="s">
        <v>115</v>
      </c>
      <c r="I152" s="5">
        <v>44755</v>
      </c>
      <c r="J152" t="s">
        <v>114</v>
      </c>
      <c r="K152" t="s">
        <v>113</v>
      </c>
      <c r="L152" s="22" t="s">
        <v>58</v>
      </c>
      <c r="M152" s="8" t="s">
        <v>124</v>
      </c>
      <c r="N152" s="21" t="s">
        <v>127</v>
      </c>
    </row>
    <row r="153" spans="1:15" ht="15" x14ac:dyDescent="0.25">
      <c r="A153" t="s">
        <v>109</v>
      </c>
      <c r="B153" t="s">
        <v>108</v>
      </c>
      <c r="C153">
        <v>901.27</v>
      </c>
      <c r="F153" t="s">
        <v>19</v>
      </c>
      <c r="G153" t="s">
        <v>95</v>
      </c>
      <c r="H153" s="8" t="s">
        <v>115</v>
      </c>
      <c r="I153" s="5">
        <v>44755</v>
      </c>
      <c r="J153" t="s">
        <v>114</v>
      </c>
      <c r="K153" t="s">
        <v>113</v>
      </c>
      <c r="L153" s="22" t="s">
        <v>58</v>
      </c>
      <c r="M153" s="8" t="s">
        <v>124</v>
      </c>
      <c r="N153" s="21" t="s">
        <v>127</v>
      </c>
    </row>
    <row r="154" spans="1:15" ht="15" x14ac:dyDescent="0.25">
      <c r="A154" t="s">
        <v>109</v>
      </c>
      <c r="B154" t="s">
        <v>108</v>
      </c>
      <c r="C154">
        <v>901.27</v>
      </c>
      <c r="F154" t="s">
        <v>19</v>
      </c>
      <c r="G154" t="s">
        <v>96</v>
      </c>
      <c r="H154" s="8" t="s">
        <v>115</v>
      </c>
      <c r="I154" s="5">
        <v>44755</v>
      </c>
      <c r="J154" t="s">
        <v>114</v>
      </c>
      <c r="K154" t="s">
        <v>113</v>
      </c>
      <c r="L154" s="22" t="s">
        <v>58</v>
      </c>
      <c r="M154" s="8" t="s">
        <v>124</v>
      </c>
      <c r="N154" s="21" t="s">
        <v>127</v>
      </c>
    </row>
    <row r="155" spans="1:15" ht="15" x14ac:dyDescent="0.25">
      <c r="A155" t="s">
        <v>110</v>
      </c>
      <c r="B155" t="s">
        <v>108</v>
      </c>
      <c r="C155">
        <v>901.27</v>
      </c>
      <c r="D155" s="8" t="s">
        <v>135</v>
      </c>
      <c r="E155" t="s">
        <v>113</v>
      </c>
      <c r="F155" t="s">
        <v>19</v>
      </c>
      <c r="G155" t="s">
        <v>97</v>
      </c>
      <c r="H155" s="8" t="s">
        <v>115</v>
      </c>
      <c r="I155" s="5">
        <v>44755</v>
      </c>
      <c r="J155" t="s">
        <v>119</v>
      </c>
      <c r="K155" t="s">
        <v>113</v>
      </c>
      <c r="L155" s="22" t="s">
        <v>58</v>
      </c>
      <c r="M155" s="8" t="s">
        <v>124</v>
      </c>
      <c r="N155" s="21" t="s">
        <v>127</v>
      </c>
    </row>
    <row r="156" spans="1:15" ht="15" x14ac:dyDescent="0.25">
      <c r="A156" t="s">
        <v>110</v>
      </c>
      <c r="B156" t="s">
        <v>108</v>
      </c>
      <c r="C156">
        <v>901.27</v>
      </c>
      <c r="F156" t="s">
        <v>19</v>
      </c>
      <c r="G156" t="s">
        <v>101</v>
      </c>
      <c r="H156" s="8" t="s">
        <v>115</v>
      </c>
      <c r="I156" s="5">
        <v>44755</v>
      </c>
      <c r="J156" t="s">
        <v>114</v>
      </c>
      <c r="K156" t="s">
        <v>113</v>
      </c>
      <c r="L156" s="22" t="s">
        <v>58</v>
      </c>
      <c r="M156" s="8" t="s">
        <v>124</v>
      </c>
      <c r="N156" s="21" t="s">
        <v>127</v>
      </c>
    </row>
    <row r="157" spans="1:15" ht="15" x14ac:dyDescent="0.25">
      <c r="A157" t="s">
        <v>109</v>
      </c>
      <c r="B157" t="s">
        <v>108</v>
      </c>
      <c r="C157">
        <v>901.27</v>
      </c>
      <c r="F157" t="s">
        <v>19</v>
      </c>
      <c r="G157" t="s">
        <v>90</v>
      </c>
      <c r="H157" s="8" t="s">
        <v>115</v>
      </c>
      <c r="I157" s="5">
        <v>44770</v>
      </c>
      <c r="J157" t="s">
        <v>119</v>
      </c>
      <c r="K157" t="s">
        <v>113</v>
      </c>
      <c r="L157" s="22" t="s">
        <v>58</v>
      </c>
      <c r="M157" s="8" t="s">
        <v>124</v>
      </c>
      <c r="N157" s="21" t="s">
        <v>127</v>
      </c>
    </row>
    <row r="158" spans="1:15" ht="15" x14ac:dyDescent="0.25">
      <c r="A158" t="s">
        <v>109</v>
      </c>
      <c r="B158" t="s">
        <v>108</v>
      </c>
      <c r="C158">
        <v>901.27</v>
      </c>
      <c r="F158" t="s">
        <v>19</v>
      </c>
      <c r="G158" t="s">
        <v>92</v>
      </c>
      <c r="H158" s="8" t="s">
        <v>115</v>
      </c>
      <c r="I158" s="5">
        <v>44770</v>
      </c>
      <c r="J158" t="s">
        <v>119</v>
      </c>
      <c r="K158" t="s">
        <v>113</v>
      </c>
      <c r="L158" s="22" t="s">
        <v>58</v>
      </c>
      <c r="M158" s="8" t="s">
        <v>124</v>
      </c>
      <c r="N158" s="21" t="s">
        <v>127</v>
      </c>
    </row>
    <row r="159" spans="1:15" ht="15" x14ac:dyDescent="0.25">
      <c r="A159" t="s">
        <v>109</v>
      </c>
      <c r="B159" t="s">
        <v>108</v>
      </c>
      <c r="C159">
        <v>901.27</v>
      </c>
      <c r="F159" t="s">
        <v>19</v>
      </c>
      <c r="G159" t="s">
        <v>93</v>
      </c>
      <c r="H159" s="8" t="s">
        <v>115</v>
      </c>
      <c r="I159" s="5">
        <v>44770</v>
      </c>
      <c r="J159" t="s">
        <v>119</v>
      </c>
      <c r="K159" t="s">
        <v>112</v>
      </c>
      <c r="L159" s="22" t="s">
        <v>58</v>
      </c>
      <c r="M159" s="8" t="s">
        <v>124</v>
      </c>
      <c r="N159" s="21" t="s">
        <v>127</v>
      </c>
    </row>
    <row r="160" spans="1:15" ht="15" x14ac:dyDescent="0.25">
      <c r="A160" t="s">
        <v>109</v>
      </c>
      <c r="B160" t="s">
        <v>108</v>
      </c>
      <c r="C160">
        <v>901.27</v>
      </c>
      <c r="F160" t="s">
        <v>19</v>
      </c>
      <c r="G160" t="s">
        <v>104</v>
      </c>
      <c r="H160" s="8" t="s">
        <v>115</v>
      </c>
      <c r="I160" s="5">
        <v>44770</v>
      </c>
      <c r="J160" t="s">
        <v>23</v>
      </c>
      <c r="K160" t="s">
        <v>112</v>
      </c>
      <c r="L160" s="22">
        <v>0.02</v>
      </c>
      <c r="M160" s="8" t="s">
        <v>124</v>
      </c>
      <c r="N160" s="21" t="s">
        <v>127</v>
      </c>
      <c r="O160" s="8" t="s">
        <v>125</v>
      </c>
    </row>
    <row r="161" spans="1:15" ht="15" x14ac:dyDescent="0.25">
      <c r="A161" t="s">
        <v>109</v>
      </c>
      <c r="B161" t="s">
        <v>108</v>
      </c>
      <c r="C161">
        <v>901.27</v>
      </c>
      <c r="F161" t="s">
        <v>19</v>
      </c>
      <c r="G161" t="s">
        <v>104</v>
      </c>
      <c r="H161" s="8" t="s">
        <v>115</v>
      </c>
      <c r="I161" s="5">
        <v>44770</v>
      </c>
      <c r="J161" t="s">
        <v>23</v>
      </c>
      <c r="K161" t="s">
        <v>112</v>
      </c>
      <c r="L161" s="22">
        <v>0.02</v>
      </c>
      <c r="M161" s="8" t="s">
        <v>124</v>
      </c>
      <c r="N161" s="21" t="s">
        <v>127</v>
      </c>
      <c r="O161" s="8" t="s">
        <v>125</v>
      </c>
    </row>
    <row r="162" spans="1:15" ht="15" x14ac:dyDescent="0.25">
      <c r="A162" t="s">
        <v>109</v>
      </c>
      <c r="B162" t="s">
        <v>108</v>
      </c>
      <c r="C162">
        <v>901.27</v>
      </c>
      <c r="F162" t="s">
        <v>19</v>
      </c>
      <c r="G162" t="s">
        <v>60</v>
      </c>
      <c r="H162" s="8" t="s">
        <v>115</v>
      </c>
      <c r="I162" s="5">
        <v>44783</v>
      </c>
      <c r="J162" t="s">
        <v>119</v>
      </c>
      <c r="K162" t="s">
        <v>112</v>
      </c>
      <c r="L162" s="22" t="s">
        <v>58</v>
      </c>
      <c r="M162" s="8" t="s">
        <v>124</v>
      </c>
      <c r="N162" s="21" t="s">
        <v>127</v>
      </c>
    </row>
    <row r="163" spans="1:15" ht="15" x14ac:dyDescent="0.25">
      <c r="A163" t="s">
        <v>109</v>
      </c>
      <c r="B163" t="s">
        <v>108</v>
      </c>
      <c r="C163">
        <v>901.27</v>
      </c>
      <c r="F163" t="s">
        <v>19</v>
      </c>
      <c r="G163" t="s">
        <v>61</v>
      </c>
      <c r="H163" s="8" t="s">
        <v>115</v>
      </c>
      <c r="I163" s="5">
        <v>44783</v>
      </c>
      <c r="J163" t="s">
        <v>114</v>
      </c>
      <c r="K163" t="s">
        <v>113</v>
      </c>
      <c r="L163" s="22" t="s">
        <v>58</v>
      </c>
      <c r="M163" s="8" t="s">
        <v>124</v>
      </c>
      <c r="N163" s="21" t="s">
        <v>127</v>
      </c>
    </row>
    <row r="164" spans="1:15" ht="15" x14ac:dyDescent="0.25">
      <c r="A164" t="s">
        <v>109</v>
      </c>
      <c r="B164" t="s">
        <v>108</v>
      </c>
      <c r="C164">
        <v>901.27</v>
      </c>
      <c r="F164" t="s">
        <v>19</v>
      </c>
      <c r="G164" t="s">
        <v>63</v>
      </c>
      <c r="H164" s="8" t="s">
        <v>115</v>
      </c>
      <c r="I164" s="5">
        <v>44783</v>
      </c>
      <c r="J164" t="s">
        <v>114</v>
      </c>
      <c r="K164" t="s">
        <v>113</v>
      </c>
      <c r="L164" s="22" t="s">
        <v>58</v>
      </c>
      <c r="M164" s="8" t="s">
        <v>124</v>
      </c>
      <c r="N164" s="21" t="s">
        <v>127</v>
      </c>
    </row>
    <row r="165" spans="1:15" ht="15" x14ac:dyDescent="0.25">
      <c r="A165" t="s">
        <v>109</v>
      </c>
      <c r="B165" t="s">
        <v>108</v>
      </c>
      <c r="C165">
        <v>901.27</v>
      </c>
      <c r="F165" t="s">
        <v>19</v>
      </c>
      <c r="G165" t="s">
        <v>66</v>
      </c>
      <c r="H165" s="8" t="s">
        <v>115</v>
      </c>
      <c r="I165" s="5">
        <v>44783</v>
      </c>
      <c r="J165" t="s">
        <v>119</v>
      </c>
      <c r="K165" t="s">
        <v>113</v>
      </c>
      <c r="L165" s="22" t="s">
        <v>58</v>
      </c>
      <c r="M165" s="8" t="s">
        <v>124</v>
      </c>
      <c r="N165" s="21" t="s">
        <v>127</v>
      </c>
    </row>
    <row r="166" spans="1:15" ht="15" x14ac:dyDescent="0.25">
      <c r="A166" t="s">
        <v>109</v>
      </c>
      <c r="B166" t="s">
        <v>108</v>
      </c>
      <c r="C166">
        <v>901.27</v>
      </c>
      <c r="F166" t="s">
        <v>19</v>
      </c>
      <c r="G166" t="s">
        <v>67</v>
      </c>
      <c r="H166" s="8" t="s">
        <v>115</v>
      </c>
      <c r="I166" s="5">
        <v>44783</v>
      </c>
      <c r="J166" t="s">
        <v>119</v>
      </c>
      <c r="K166" t="s">
        <v>112</v>
      </c>
      <c r="L166" s="22" t="s">
        <v>58</v>
      </c>
      <c r="M166" s="8" t="s">
        <v>124</v>
      </c>
      <c r="N166" s="21" t="s">
        <v>127</v>
      </c>
    </row>
    <row r="167" spans="1:15" ht="15" x14ac:dyDescent="0.25">
      <c r="A167" t="s">
        <v>109</v>
      </c>
      <c r="B167" t="s">
        <v>108</v>
      </c>
      <c r="C167">
        <v>901.27</v>
      </c>
      <c r="F167" t="s">
        <v>19</v>
      </c>
      <c r="G167" t="s">
        <v>68</v>
      </c>
      <c r="H167" s="8" t="s">
        <v>115</v>
      </c>
      <c r="I167" s="5">
        <v>44783</v>
      </c>
      <c r="J167" t="s">
        <v>23</v>
      </c>
      <c r="K167" t="s">
        <v>121</v>
      </c>
      <c r="L167" s="22">
        <v>4.1009999999999996E-3</v>
      </c>
      <c r="M167" s="8" t="s">
        <v>124</v>
      </c>
      <c r="N167" s="21" t="s">
        <v>127</v>
      </c>
      <c r="O167" s="8" t="s">
        <v>126</v>
      </c>
    </row>
    <row r="168" spans="1:15" ht="15" x14ac:dyDescent="0.25">
      <c r="A168" t="s">
        <v>109</v>
      </c>
      <c r="B168" t="s">
        <v>108</v>
      </c>
      <c r="C168">
        <v>901.27</v>
      </c>
      <c r="F168" t="s">
        <v>19</v>
      </c>
      <c r="G168" t="s">
        <v>74</v>
      </c>
      <c r="H168" s="8" t="s">
        <v>115</v>
      </c>
      <c r="I168" s="5">
        <v>44783</v>
      </c>
      <c r="J168" t="s">
        <v>120</v>
      </c>
      <c r="K168" t="s">
        <v>112</v>
      </c>
      <c r="L168" s="22" t="s">
        <v>58</v>
      </c>
      <c r="M168" s="8" t="s">
        <v>124</v>
      </c>
      <c r="N168" s="21" t="s">
        <v>127</v>
      </c>
    </row>
    <row r="169" spans="1:15" ht="15" x14ac:dyDescent="0.25">
      <c r="A169" t="s">
        <v>109</v>
      </c>
      <c r="B169" t="s">
        <v>108</v>
      </c>
      <c r="C169">
        <v>901.27</v>
      </c>
      <c r="F169" t="s">
        <v>19</v>
      </c>
      <c r="G169" t="s">
        <v>75</v>
      </c>
      <c r="H169" s="8" t="s">
        <v>115</v>
      </c>
      <c r="I169" s="5">
        <v>44783</v>
      </c>
      <c r="J169" t="s">
        <v>114</v>
      </c>
      <c r="K169" t="s">
        <v>113</v>
      </c>
      <c r="L169" s="22" t="s">
        <v>58</v>
      </c>
      <c r="M169" s="8" t="s">
        <v>124</v>
      </c>
      <c r="N169" s="21" t="s">
        <v>127</v>
      </c>
    </row>
    <row r="170" spans="1:15" ht="15" x14ac:dyDescent="0.25">
      <c r="A170" t="s">
        <v>109</v>
      </c>
      <c r="B170" t="s">
        <v>108</v>
      </c>
      <c r="C170">
        <v>901.27</v>
      </c>
      <c r="F170" t="s">
        <v>19</v>
      </c>
      <c r="G170" t="s">
        <v>78</v>
      </c>
      <c r="H170" s="8" t="s">
        <v>115</v>
      </c>
      <c r="I170" s="5">
        <v>44783</v>
      </c>
      <c r="J170" t="s">
        <v>119</v>
      </c>
      <c r="K170" t="s">
        <v>113</v>
      </c>
      <c r="L170" s="22" t="s">
        <v>58</v>
      </c>
      <c r="M170" s="8" t="s">
        <v>124</v>
      </c>
      <c r="N170" s="21" t="s">
        <v>127</v>
      </c>
    </row>
    <row r="171" spans="1:15" ht="15" x14ac:dyDescent="0.25">
      <c r="A171" t="s">
        <v>109</v>
      </c>
      <c r="B171" t="s">
        <v>108</v>
      </c>
      <c r="C171">
        <v>901.27</v>
      </c>
      <c r="F171" t="s">
        <v>19</v>
      </c>
      <c r="G171" t="s">
        <v>89</v>
      </c>
      <c r="H171" s="8" t="s">
        <v>115</v>
      </c>
      <c r="I171" s="5">
        <v>44783</v>
      </c>
      <c r="J171" t="s">
        <v>114</v>
      </c>
      <c r="K171" t="s">
        <v>113</v>
      </c>
      <c r="L171" s="22" t="s">
        <v>58</v>
      </c>
      <c r="M171" s="8" t="s">
        <v>124</v>
      </c>
      <c r="N171" s="21" t="s">
        <v>127</v>
      </c>
    </row>
    <row r="172" spans="1:15" ht="15" x14ac:dyDescent="0.25">
      <c r="A172" t="s">
        <v>109</v>
      </c>
      <c r="B172" t="s">
        <v>108</v>
      </c>
      <c r="C172">
        <v>901.27</v>
      </c>
      <c r="F172" t="s">
        <v>19</v>
      </c>
      <c r="G172" t="s">
        <v>90</v>
      </c>
      <c r="H172" s="8" t="s">
        <v>115</v>
      </c>
      <c r="I172" s="5">
        <v>44783</v>
      </c>
      <c r="J172" t="s">
        <v>119</v>
      </c>
      <c r="K172" t="s">
        <v>113</v>
      </c>
      <c r="L172" s="22" t="s">
        <v>58</v>
      </c>
      <c r="M172" s="8" t="s">
        <v>124</v>
      </c>
      <c r="N172" s="21" t="s">
        <v>127</v>
      </c>
    </row>
    <row r="173" spans="1:15" ht="15" x14ac:dyDescent="0.25">
      <c r="A173" t="s">
        <v>109</v>
      </c>
      <c r="B173" t="s">
        <v>108</v>
      </c>
      <c r="C173">
        <v>901.27</v>
      </c>
      <c r="F173" t="s">
        <v>19</v>
      </c>
      <c r="G173" t="s">
        <v>91</v>
      </c>
      <c r="H173" s="8" t="s">
        <v>115</v>
      </c>
      <c r="I173" s="5">
        <v>44783</v>
      </c>
      <c r="J173" t="s">
        <v>23</v>
      </c>
      <c r="K173" t="s">
        <v>113</v>
      </c>
      <c r="L173" s="22">
        <v>1.4E-2</v>
      </c>
      <c r="M173" s="8" t="s">
        <v>124</v>
      </c>
      <c r="N173" s="21" t="s">
        <v>127</v>
      </c>
      <c r="O173" s="8" t="s">
        <v>125</v>
      </c>
    </row>
    <row r="174" spans="1:15" ht="15" x14ac:dyDescent="0.25">
      <c r="A174" t="s">
        <v>109</v>
      </c>
      <c r="B174" t="s">
        <v>108</v>
      </c>
      <c r="C174">
        <v>901.27</v>
      </c>
      <c r="F174" t="s">
        <v>19</v>
      </c>
      <c r="G174" t="s">
        <v>92</v>
      </c>
      <c r="H174" s="8" t="s">
        <v>115</v>
      </c>
      <c r="I174" s="5">
        <v>44783</v>
      </c>
      <c r="J174" t="s">
        <v>119</v>
      </c>
      <c r="K174" t="s">
        <v>113</v>
      </c>
      <c r="L174" s="22" t="s">
        <v>58</v>
      </c>
      <c r="M174" s="8" t="s">
        <v>124</v>
      </c>
      <c r="N174" s="21" t="s">
        <v>127</v>
      </c>
    </row>
    <row r="175" spans="1:15" ht="15" x14ac:dyDescent="0.25">
      <c r="A175" t="s">
        <v>109</v>
      </c>
      <c r="B175" t="s">
        <v>108</v>
      </c>
      <c r="C175">
        <v>901.27</v>
      </c>
      <c r="F175" t="s">
        <v>19</v>
      </c>
      <c r="G175" t="s">
        <v>93</v>
      </c>
      <c r="H175" s="8" t="s">
        <v>115</v>
      </c>
      <c r="I175" s="5">
        <v>44783</v>
      </c>
      <c r="J175" t="s">
        <v>23</v>
      </c>
      <c r="K175" t="s">
        <v>112</v>
      </c>
      <c r="L175" s="22">
        <v>1.1494000000000001E-2</v>
      </c>
      <c r="M175" s="8" t="s">
        <v>124</v>
      </c>
      <c r="N175" s="21" t="s">
        <v>127</v>
      </c>
      <c r="O175" s="8" t="s">
        <v>126</v>
      </c>
    </row>
    <row r="176" spans="1:15" ht="15" x14ac:dyDescent="0.25">
      <c r="A176" t="s">
        <v>109</v>
      </c>
      <c r="B176" t="s">
        <v>108</v>
      </c>
      <c r="C176">
        <v>901.27</v>
      </c>
      <c r="F176" t="s">
        <v>19</v>
      </c>
      <c r="G176" t="s">
        <v>96</v>
      </c>
      <c r="H176" s="8" t="s">
        <v>115</v>
      </c>
      <c r="I176" s="5">
        <v>44783</v>
      </c>
      <c r="J176" t="s">
        <v>114</v>
      </c>
      <c r="K176" t="s">
        <v>113</v>
      </c>
      <c r="L176" s="22" t="s">
        <v>58</v>
      </c>
      <c r="M176" s="8" t="s">
        <v>124</v>
      </c>
      <c r="N176" s="21" t="s">
        <v>127</v>
      </c>
    </row>
    <row r="177" spans="1:15" ht="15" x14ac:dyDescent="0.25">
      <c r="A177" t="s">
        <v>109</v>
      </c>
      <c r="B177" t="s">
        <v>108</v>
      </c>
      <c r="C177">
        <v>901.27</v>
      </c>
      <c r="F177" t="s">
        <v>19</v>
      </c>
      <c r="G177" t="s">
        <v>99</v>
      </c>
      <c r="H177" s="8" t="s">
        <v>115</v>
      </c>
      <c r="I177" s="5">
        <v>44783</v>
      </c>
      <c r="J177" t="s">
        <v>23</v>
      </c>
      <c r="K177" t="s">
        <v>113</v>
      </c>
      <c r="L177" s="22">
        <v>2.6200000000000003E-4</v>
      </c>
      <c r="M177" s="8" t="s">
        <v>124</v>
      </c>
      <c r="N177" s="21" t="s">
        <v>127</v>
      </c>
      <c r="O177" s="8" t="s">
        <v>126</v>
      </c>
    </row>
    <row r="178" spans="1:15" ht="15" x14ac:dyDescent="0.25">
      <c r="A178" t="s">
        <v>109</v>
      </c>
      <c r="B178" t="s">
        <v>108</v>
      </c>
      <c r="C178">
        <v>901.27</v>
      </c>
      <c r="F178" t="s">
        <v>19</v>
      </c>
      <c r="G178" t="s">
        <v>104</v>
      </c>
      <c r="H178" s="8" t="s">
        <v>115</v>
      </c>
      <c r="I178" s="5">
        <v>44783</v>
      </c>
      <c r="J178" t="s">
        <v>119</v>
      </c>
      <c r="K178" t="s">
        <v>122</v>
      </c>
      <c r="L178" s="22" t="s">
        <v>58</v>
      </c>
      <c r="M178" s="8" t="s">
        <v>124</v>
      </c>
      <c r="N178" s="21" t="s">
        <v>127</v>
      </c>
    </row>
    <row r="179" spans="1:15" ht="15" x14ac:dyDescent="0.25">
      <c r="A179" t="s">
        <v>109</v>
      </c>
      <c r="B179" t="s">
        <v>108</v>
      </c>
      <c r="C179">
        <v>901.27</v>
      </c>
      <c r="F179" t="s">
        <v>19</v>
      </c>
      <c r="G179" t="s">
        <v>104</v>
      </c>
      <c r="H179" s="8" t="s">
        <v>115</v>
      </c>
      <c r="I179" s="5">
        <v>44783</v>
      </c>
      <c r="J179" t="s">
        <v>119</v>
      </c>
      <c r="K179" t="s">
        <v>122</v>
      </c>
      <c r="L179" s="22" t="s">
        <v>58</v>
      </c>
      <c r="M179" s="8" t="s">
        <v>124</v>
      </c>
      <c r="N179" s="21" t="s">
        <v>127</v>
      </c>
    </row>
    <row r="180" spans="1:15" ht="15" x14ac:dyDescent="0.25">
      <c r="A180" t="s">
        <v>109</v>
      </c>
      <c r="B180" t="s">
        <v>108</v>
      </c>
      <c r="C180">
        <v>901.27</v>
      </c>
      <c r="F180" t="s">
        <v>19</v>
      </c>
      <c r="G180" t="s">
        <v>73</v>
      </c>
      <c r="H180" s="8" t="s">
        <v>115</v>
      </c>
      <c r="I180" s="5">
        <v>44784</v>
      </c>
      <c r="J180" t="s">
        <v>114</v>
      </c>
      <c r="K180" t="s">
        <v>113</v>
      </c>
      <c r="L180" s="22" t="s">
        <v>58</v>
      </c>
      <c r="M180" s="8" t="s">
        <v>124</v>
      </c>
      <c r="N180" s="21" t="s">
        <v>127</v>
      </c>
    </row>
    <row r="181" spans="1:15" ht="15" x14ac:dyDescent="0.25">
      <c r="A181" t="s">
        <v>109</v>
      </c>
      <c r="B181" t="s">
        <v>108</v>
      </c>
      <c r="C181">
        <v>901.27</v>
      </c>
      <c r="F181" t="s">
        <v>19</v>
      </c>
      <c r="G181" t="s">
        <v>94</v>
      </c>
      <c r="H181" s="8" t="s">
        <v>115</v>
      </c>
      <c r="I181" s="5">
        <v>44784</v>
      </c>
      <c r="J181" t="s">
        <v>114</v>
      </c>
      <c r="K181" t="s">
        <v>113</v>
      </c>
      <c r="L181" s="22" t="s">
        <v>58</v>
      </c>
      <c r="M181" s="8" t="s">
        <v>124</v>
      </c>
      <c r="N181" s="21" t="s">
        <v>127</v>
      </c>
    </row>
    <row r="182" spans="1:15" ht="15" x14ac:dyDescent="0.25">
      <c r="A182" t="s">
        <v>110</v>
      </c>
      <c r="B182" t="s">
        <v>108</v>
      </c>
      <c r="C182">
        <v>901.27</v>
      </c>
      <c r="D182" s="8" t="s">
        <v>135</v>
      </c>
      <c r="E182" t="s">
        <v>113</v>
      </c>
      <c r="F182" t="s">
        <v>19</v>
      </c>
      <c r="G182" t="s">
        <v>69</v>
      </c>
      <c r="H182" s="8" t="s">
        <v>115</v>
      </c>
      <c r="I182" s="5">
        <v>44802</v>
      </c>
      <c r="J182" t="s">
        <v>114</v>
      </c>
      <c r="K182" t="s">
        <v>113</v>
      </c>
      <c r="L182" s="22" t="s">
        <v>58</v>
      </c>
      <c r="M182" s="8" t="s">
        <v>124</v>
      </c>
      <c r="N182" s="21" t="s">
        <v>127</v>
      </c>
    </row>
    <row r="183" spans="1:15" ht="15" x14ac:dyDescent="0.25">
      <c r="A183" t="s">
        <v>110</v>
      </c>
      <c r="B183" t="s">
        <v>108</v>
      </c>
      <c r="C183">
        <v>901.27</v>
      </c>
      <c r="D183" s="8" t="s">
        <v>135</v>
      </c>
      <c r="E183" t="s">
        <v>113</v>
      </c>
      <c r="F183" t="s">
        <v>19</v>
      </c>
      <c r="G183" t="s">
        <v>69</v>
      </c>
      <c r="H183" s="8" t="s">
        <v>115</v>
      </c>
      <c r="I183" s="5">
        <v>44802</v>
      </c>
      <c r="J183" t="s">
        <v>114</v>
      </c>
      <c r="K183" t="s">
        <v>113</v>
      </c>
      <c r="L183" s="22" t="s">
        <v>58</v>
      </c>
      <c r="M183" s="8" t="s">
        <v>124</v>
      </c>
      <c r="N183" s="21" t="s">
        <v>127</v>
      </c>
    </row>
    <row r="184" spans="1:15" ht="15" x14ac:dyDescent="0.25">
      <c r="A184" t="s">
        <v>110</v>
      </c>
      <c r="B184" t="s">
        <v>108</v>
      </c>
      <c r="C184">
        <v>901.27</v>
      </c>
      <c r="D184" s="8" t="s">
        <v>135</v>
      </c>
      <c r="E184" t="s">
        <v>113</v>
      </c>
      <c r="F184" t="s">
        <v>19</v>
      </c>
      <c r="G184" t="s">
        <v>71</v>
      </c>
      <c r="H184" s="8" t="s">
        <v>115</v>
      </c>
      <c r="I184" s="5">
        <v>44802</v>
      </c>
      <c r="J184" t="s">
        <v>114</v>
      </c>
      <c r="K184" t="s">
        <v>113</v>
      </c>
      <c r="L184" s="22" t="s">
        <v>58</v>
      </c>
      <c r="M184" s="8" t="s">
        <v>124</v>
      </c>
      <c r="N184" s="21" t="s">
        <v>127</v>
      </c>
    </row>
    <row r="185" spans="1:15" ht="15" x14ac:dyDescent="0.25">
      <c r="A185" t="s">
        <v>110</v>
      </c>
      <c r="B185" t="s">
        <v>108</v>
      </c>
      <c r="C185">
        <v>901.27</v>
      </c>
      <c r="D185" s="8" t="s">
        <v>135</v>
      </c>
      <c r="E185" t="s">
        <v>113</v>
      </c>
      <c r="F185" t="s">
        <v>19</v>
      </c>
      <c r="G185" t="s">
        <v>72</v>
      </c>
      <c r="H185" s="8" t="s">
        <v>115</v>
      </c>
      <c r="I185" s="5">
        <v>44802</v>
      </c>
      <c r="J185" t="s">
        <v>114</v>
      </c>
      <c r="K185" t="s">
        <v>113</v>
      </c>
      <c r="L185" s="22" t="s">
        <v>58</v>
      </c>
      <c r="M185" s="8" t="s">
        <v>124</v>
      </c>
      <c r="N185" s="21" t="s">
        <v>127</v>
      </c>
    </row>
    <row r="186" spans="1:15" ht="15" x14ac:dyDescent="0.25">
      <c r="A186" t="s">
        <v>110</v>
      </c>
      <c r="B186" t="s">
        <v>108</v>
      </c>
      <c r="C186">
        <v>901.27</v>
      </c>
      <c r="D186" s="8" t="s">
        <v>135</v>
      </c>
      <c r="E186" t="s">
        <v>113</v>
      </c>
      <c r="F186" t="s">
        <v>19</v>
      </c>
      <c r="G186" t="s">
        <v>86</v>
      </c>
      <c r="H186" s="8" t="s">
        <v>115</v>
      </c>
      <c r="I186" s="5">
        <v>44802</v>
      </c>
      <c r="J186" t="s">
        <v>114</v>
      </c>
      <c r="K186" t="s">
        <v>113</v>
      </c>
      <c r="L186" s="22" t="s">
        <v>58</v>
      </c>
      <c r="M186" s="8" t="s">
        <v>124</v>
      </c>
      <c r="N186" s="21" t="s">
        <v>127</v>
      </c>
    </row>
    <row r="187" spans="1:15" ht="15" x14ac:dyDescent="0.25">
      <c r="A187" t="s">
        <v>110</v>
      </c>
      <c r="B187" t="s">
        <v>108</v>
      </c>
      <c r="C187">
        <v>901.27</v>
      </c>
      <c r="D187" s="8" t="s">
        <v>135</v>
      </c>
      <c r="E187" t="s">
        <v>113</v>
      </c>
      <c r="F187" t="s">
        <v>19</v>
      </c>
      <c r="G187" t="s">
        <v>86</v>
      </c>
      <c r="H187" s="8" t="s">
        <v>115</v>
      </c>
      <c r="I187" s="5">
        <v>44802</v>
      </c>
      <c r="J187" t="s">
        <v>114</v>
      </c>
      <c r="K187" t="s">
        <v>113</v>
      </c>
      <c r="L187" s="22" t="s">
        <v>58</v>
      </c>
      <c r="M187" s="8" t="s">
        <v>124</v>
      </c>
      <c r="N187" s="21" t="s">
        <v>127</v>
      </c>
    </row>
    <row r="188" spans="1:15" ht="15" x14ac:dyDescent="0.25">
      <c r="A188" t="s">
        <v>110</v>
      </c>
      <c r="B188" t="s">
        <v>108</v>
      </c>
      <c r="C188">
        <v>901.27</v>
      </c>
      <c r="D188" s="8" t="s">
        <v>135</v>
      </c>
      <c r="E188" t="s">
        <v>113</v>
      </c>
      <c r="F188" t="s">
        <v>19</v>
      </c>
      <c r="G188" t="s">
        <v>97</v>
      </c>
      <c r="H188" s="8" t="s">
        <v>115</v>
      </c>
      <c r="I188" s="5">
        <v>44802</v>
      </c>
      <c r="J188" t="s">
        <v>114</v>
      </c>
      <c r="K188" t="s">
        <v>113</v>
      </c>
      <c r="L188" s="22" t="s">
        <v>58</v>
      </c>
      <c r="M188" s="8" t="s">
        <v>124</v>
      </c>
      <c r="N188" s="21" t="s">
        <v>127</v>
      </c>
    </row>
    <row r="189" spans="1:15" ht="15" x14ac:dyDescent="0.25">
      <c r="A189" t="s">
        <v>110</v>
      </c>
      <c r="B189" t="s">
        <v>108</v>
      </c>
      <c r="C189">
        <v>901.27</v>
      </c>
      <c r="D189" s="8" t="s">
        <v>135</v>
      </c>
      <c r="E189" t="s">
        <v>121</v>
      </c>
      <c r="F189" t="s">
        <v>19</v>
      </c>
      <c r="G189" t="s">
        <v>98</v>
      </c>
      <c r="H189" s="8" t="s">
        <v>115</v>
      </c>
      <c r="I189" s="5">
        <v>44802</v>
      </c>
      <c r="J189" t="s">
        <v>23</v>
      </c>
      <c r="K189" t="s">
        <v>121</v>
      </c>
      <c r="L189" s="22">
        <v>1.0999999999999999E-2</v>
      </c>
      <c r="M189" s="8" t="s">
        <v>124</v>
      </c>
      <c r="N189" s="21" t="s">
        <v>127</v>
      </c>
      <c r="O189" s="8" t="s">
        <v>125</v>
      </c>
    </row>
    <row r="190" spans="1:15" ht="15" x14ac:dyDescent="0.25">
      <c r="A190" t="s">
        <v>110</v>
      </c>
      <c r="B190" t="s">
        <v>108</v>
      </c>
      <c r="C190">
        <v>901.27</v>
      </c>
      <c r="D190" s="8" t="s">
        <v>135</v>
      </c>
      <c r="E190" t="s">
        <v>121</v>
      </c>
      <c r="F190" t="s">
        <v>19</v>
      </c>
      <c r="G190" t="s">
        <v>98</v>
      </c>
      <c r="H190" s="8" t="s">
        <v>115</v>
      </c>
      <c r="I190" s="5">
        <v>44802</v>
      </c>
      <c r="J190" t="s">
        <v>23</v>
      </c>
      <c r="K190" t="s">
        <v>121</v>
      </c>
      <c r="L190" s="22">
        <v>1.0999999999999999E-2</v>
      </c>
      <c r="M190" s="8" t="s">
        <v>124</v>
      </c>
      <c r="N190" s="21" t="s">
        <v>127</v>
      </c>
      <c r="O190" s="8" t="s">
        <v>125</v>
      </c>
    </row>
    <row r="191" spans="1:15" ht="15" x14ac:dyDescent="0.25">
      <c r="A191" t="s">
        <v>110</v>
      </c>
      <c r="B191" t="s">
        <v>108</v>
      </c>
      <c r="C191">
        <v>901.27</v>
      </c>
      <c r="F191" t="s">
        <v>19</v>
      </c>
      <c r="G191" t="s">
        <v>101</v>
      </c>
      <c r="H191" s="8" t="s">
        <v>115</v>
      </c>
      <c r="I191" s="5">
        <v>44802</v>
      </c>
      <c r="J191" t="s">
        <v>114</v>
      </c>
      <c r="K191" t="s">
        <v>113</v>
      </c>
      <c r="L191" s="22" t="s">
        <v>58</v>
      </c>
      <c r="M191" s="8" t="s">
        <v>124</v>
      </c>
      <c r="N191" s="21" t="s">
        <v>127</v>
      </c>
    </row>
    <row r="192" spans="1:15" ht="15" x14ac:dyDescent="0.25">
      <c r="A192" t="s">
        <v>110</v>
      </c>
      <c r="B192" t="s">
        <v>108</v>
      </c>
      <c r="C192">
        <v>901.27</v>
      </c>
      <c r="D192" s="8" t="s">
        <v>135</v>
      </c>
      <c r="E192" t="s">
        <v>121</v>
      </c>
      <c r="F192" t="s">
        <v>19</v>
      </c>
      <c r="G192" t="s">
        <v>128</v>
      </c>
      <c r="H192" s="8" t="s">
        <v>115</v>
      </c>
      <c r="I192" s="5">
        <v>44802</v>
      </c>
      <c r="J192" t="s">
        <v>23</v>
      </c>
      <c r="K192" t="s">
        <v>121</v>
      </c>
      <c r="L192" s="22">
        <v>1.7000000000000001E-2</v>
      </c>
      <c r="M192" s="8" t="s">
        <v>124</v>
      </c>
      <c r="N192" s="21" t="s">
        <v>127</v>
      </c>
      <c r="O192" s="8" t="s">
        <v>125</v>
      </c>
    </row>
    <row r="193" spans="1:15" ht="15" x14ac:dyDescent="0.25">
      <c r="A193" t="s">
        <v>110</v>
      </c>
      <c r="B193" t="s">
        <v>108</v>
      </c>
      <c r="C193">
        <v>901.27</v>
      </c>
      <c r="D193" s="8" t="s">
        <v>135</v>
      </c>
      <c r="E193" t="s">
        <v>113</v>
      </c>
      <c r="F193" t="s">
        <v>19</v>
      </c>
      <c r="G193" t="s">
        <v>131</v>
      </c>
      <c r="H193" s="8" t="s">
        <v>115</v>
      </c>
      <c r="I193" s="5">
        <v>44802</v>
      </c>
      <c r="J193" t="s">
        <v>114</v>
      </c>
      <c r="K193" t="s">
        <v>113</v>
      </c>
      <c r="L193" s="22" t="s">
        <v>58</v>
      </c>
      <c r="M193" s="8" t="s">
        <v>124</v>
      </c>
      <c r="N193" s="21" t="s">
        <v>127</v>
      </c>
    </row>
    <row r="194" spans="1:15" ht="15" x14ac:dyDescent="0.25">
      <c r="A194" t="s">
        <v>110</v>
      </c>
      <c r="B194" t="s">
        <v>108</v>
      </c>
      <c r="C194">
        <v>901.27</v>
      </c>
      <c r="D194" s="8" t="s">
        <v>134</v>
      </c>
      <c r="E194" t="s">
        <v>113</v>
      </c>
      <c r="F194" t="s">
        <v>19</v>
      </c>
      <c r="G194" t="s">
        <v>133</v>
      </c>
      <c r="H194" s="8" t="s">
        <v>115</v>
      </c>
      <c r="I194" s="5">
        <v>44802</v>
      </c>
      <c r="J194" t="s">
        <v>114</v>
      </c>
      <c r="K194" t="s">
        <v>113</v>
      </c>
      <c r="L194" s="22" t="s">
        <v>58</v>
      </c>
      <c r="M194" s="8" t="s">
        <v>124</v>
      </c>
      <c r="N194" s="21" t="s">
        <v>127</v>
      </c>
    </row>
    <row r="195" spans="1:15" ht="15" x14ac:dyDescent="0.25">
      <c r="A195" t="s">
        <v>109</v>
      </c>
      <c r="B195" t="s">
        <v>108</v>
      </c>
      <c r="C195">
        <v>901.27</v>
      </c>
      <c r="D195"/>
      <c r="F195" t="s">
        <v>19</v>
      </c>
      <c r="G195" t="s">
        <v>60</v>
      </c>
      <c r="H195" s="8" t="s">
        <v>115</v>
      </c>
      <c r="I195" s="5">
        <v>44810</v>
      </c>
      <c r="J195" t="s">
        <v>119</v>
      </c>
      <c r="K195" t="s">
        <v>112</v>
      </c>
      <c r="L195" s="22" t="s">
        <v>58</v>
      </c>
      <c r="M195" s="8" t="s">
        <v>124</v>
      </c>
      <c r="N195" s="21" t="s">
        <v>127</v>
      </c>
    </row>
    <row r="196" spans="1:15" ht="15" x14ac:dyDescent="0.25">
      <c r="A196" t="s">
        <v>109</v>
      </c>
      <c r="B196" t="s">
        <v>108</v>
      </c>
      <c r="C196">
        <v>901.27</v>
      </c>
      <c r="D196"/>
      <c r="F196" t="s">
        <v>19</v>
      </c>
      <c r="G196" t="s">
        <v>60</v>
      </c>
      <c r="H196" s="8" t="s">
        <v>115</v>
      </c>
      <c r="I196" s="5">
        <v>44810</v>
      </c>
      <c r="J196" t="s">
        <v>23</v>
      </c>
      <c r="K196" t="s">
        <v>112</v>
      </c>
      <c r="L196" s="22">
        <v>8.3504999999999996E-2</v>
      </c>
      <c r="M196" s="8" t="s">
        <v>124</v>
      </c>
      <c r="N196" s="21" t="s">
        <v>127</v>
      </c>
      <c r="O196" s="8" t="s">
        <v>126</v>
      </c>
    </row>
    <row r="197" spans="1:15" ht="15" x14ac:dyDescent="0.25">
      <c r="A197" t="s">
        <v>109</v>
      </c>
      <c r="B197" t="s">
        <v>108</v>
      </c>
      <c r="C197">
        <v>901.27</v>
      </c>
      <c r="F197" t="s">
        <v>19</v>
      </c>
      <c r="G197" t="s">
        <v>77</v>
      </c>
      <c r="H197" s="8" t="s">
        <v>115</v>
      </c>
      <c r="I197" s="5">
        <v>44810</v>
      </c>
      <c r="J197" t="s">
        <v>114</v>
      </c>
      <c r="K197" t="s">
        <v>113</v>
      </c>
      <c r="L197" s="22" t="s">
        <v>58</v>
      </c>
      <c r="M197" s="8" t="s">
        <v>124</v>
      </c>
      <c r="N197" s="21" t="s">
        <v>127</v>
      </c>
    </row>
    <row r="198" spans="1:15" ht="15" x14ac:dyDescent="0.25">
      <c r="A198" t="s">
        <v>109</v>
      </c>
      <c r="B198" t="s">
        <v>108</v>
      </c>
      <c r="C198">
        <v>901.27</v>
      </c>
      <c r="F198" t="s">
        <v>19</v>
      </c>
      <c r="G198" t="s">
        <v>81</v>
      </c>
      <c r="H198" s="8" t="s">
        <v>115</v>
      </c>
      <c r="I198" s="5">
        <v>44810</v>
      </c>
      <c r="J198" t="s">
        <v>23</v>
      </c>
      <c r="K198" t="s">
        <v>122</v>
      </c>
      <c r="L198" s="22">
        <v>0.1188</v>
      </c>
      <c r="M198" s="8" t="s">
        <v>124</v>
      </c>
      <c r="N198" s="21" t="s">
        <v>127</v>
      </c>
      <c r="O198" s="8" t="s">
        <v>126</v>
      </c>
    </row>
    <row r="199" spans="1:15" ht="15" x14ac:dyDescent="0.25">
      <c r="A199" t="s">
        <v>109</v>
      </c>
      <c r="B199" t="s">
        <v>108</v>
      </c>
      <c r="C199">
        <v>901.27</v>
      </c>
      <c r="F199" t="s">
        <v>19</v>
      </c>
      <c r="G199" t="s">
        <v>81</v>
      </c>
      <c r="H199" s="8" t="s">
        <v>115</v>
      </c>
      <c r="I199" s="5">
        <v>44810</v>
      </c>
      <c r="J199" t="s">
        <v>23</v>
      </c>
      <c r="K199" t="s">
        <v>122</v>
      </c>
      <c r="L199" s="22">
        <v>0.1188</v>
      </c>
      <c r="M199" s="8" t="s">
        <v>124</v>
      </c>
      <c r="N199" s="21" t="s">
        <v>127</v>
      </c>
      <c r="O199" s="8" t="s">
        <v>126</v>
      </c>
    </row>
    <row r="200" spans="1:15" ht="15" x14ac:dyDescent="0.25">
      <c r="A200" t="s">
        <v>109</v>
      </c>
      <c r="B200" t="s">
        <v>108</v>
      </c>
      <c r="C200">
        <v>901.27</v>
      </c>
      <c r="F200" t="s">
        <v>19</v>
      </c>
      <c r="G200" t="s">
        <v>81</v>
      </c>
      <c r="H200" s="8" t="s">
        <v>115</v>
      </c>
      <c r="I200" s="5">
        <v>44810</v>
      </c>
      <c r="J200" t="s">
        <v>23</v>
      </c>
      <c r="K200" t="s">
        <v>122</v>
      </c>
      <c r="L200" s="22">
        <v>0.1188</v>
      </c>
      <c r="M200" s="8" t="s">
        <v>124</v>
      </c>
      <c r="N200" s="21" t="s">
        <v>127</v>
      </c>
      <c r="O200" s="8" t="s">
        <v>126</v>
      </c>
    </row>
    <row r="201" spans="1:15" ht="15" x14ac:dyDescent="0.25">
      <c r="A201" t="s">
        <v>109</v>
      </c>
      <c r="B201" t="s">
        <v>108</v>
      </c>
      <c r="C201">
        <v>901.27</v>
      </c>
      <c r="F201" t="s">
        <v>19</v>
      </c>
      <c r="G201" t="s">
        <v>82</v>
      </c>
      <c r="H201" s="8" t="s">
        <v>115</v>
      </c>
      <c r="I201" s="5">
        <v>44810</v>
      </c>
      <c r="J201" t="s">
        <v>119</v>
      </c>
      <c r="K201" t="s">
        <v>112</v>
      </c>
      <c r="L201" s="22" t="s">
        <v>58</v>
      </c>
      <c r="M201" s="8" t="s">
        <v>124</v>
      </c>
      <c r="N201" s="21" t="s">
        <v>127</v>
      </c>
    </row>
    <row r="202" spans="1:15" ht="15" x14ac:dyDescent="0.25">
      <c r="A202" t="s">
        <v>109</v>
      </c>
      <c r="B202" t="s">
        <v>108</v>
      </c>
      <c r="C202">
        <v>901.27</v>
      </c>
      <c r="F202" t="s">
        <v>19</v>
      </c>
      <c r="G202" t="s">
        <v>100</v>
      </c>
      <c r="H202" s="8" t="s">
        <v>115</v>
      </c>
      <c r="I202" s="5">
        <v>44810</v>
      </c>
      <c r="J202" t="s">
        <v>23</v>
      </c>
      <c r="K202" t="s">
        <v>121</v>
      </c>
      <c r="L202" s="22">
        <v>0.08</v>
      </c>
      <c r="M202" s="8" t="s">
        <v>124</v>
      </c>
      <c r="N202" s="21" t="s">
        <v>127</v>
      </c>
      <c r="O202" s="8" t="s">
        <v>126</v>
      </c>
    </row>
    <row r="203" spans="1:15" ht="15" x14ac:dyDescent="0.25">
      <c r="A203" t="s">
        <v>109</v>
      </c>
      <c r="B203" t="s">
        <v>108</v>
      </c>
      <c r="C203">
        <v>901.27</v>
      </c>
      <c r="F203" t="s">
        <v>19</v>
      </c>
      <c r="G203" t="s">
        <v>100</v>
      </c>
      <c r="H203" s="8" t="s">
        <v>115</v>
      </c>
      <c r="I203" s="5">
        <v>44810</v>
      </c>
      <c r="J203" t="s">
        <v>23</v>
      </c>
      <c r="K203" t="s">
        <v>121</v>
      </c>
      <c r="L203" s="22">
        <v>0.08</v>
      </c>
      <c r="M203" s="8" t="s">
        <v>124</v>
      </c>
      <c r="N203" s="21" t="s">
        <v>127</v>
      </c>
      <c r="O203" s="8" t="s">
        <v>126</v>
      </c>
    </row>
    <row r="204" spans="1:15" ht="15" x14ac:dyDescent="0.25">
      <c r="A204" t="s">
        <v>110</v>
      </c>
      <c r="B204" t="s">
        <v>108</v>
      </c>
      <c r="C204">
        <v>901.27</v>
      </c>
      <c r="D204" s="8" t="s">
        <v>135</v>
      </c>
      <c r="E204" t="s">
        <v>121</v>
      </c>
      <c r="F204" t="s">
        <v>19</v>
      </c>
      <c r="G204" t="s">
        <v>98</v>
      </c>
      <c r="H204" s="8" t="s">
        <v>115</v>
      </c>
      <c r="I204" s="5">
        <v>44811</v>
      </c>
      <c r="J204" t="s">
        <v>23</v>
      </c>
      <c r="K204" t="s">
        <v>121</v>
      </c>
      <c r="L204" s="22">
        <v>4.0000000000000001E-3</v>
      </c>
      <c r="M204" s="8" t="s">
        <v>124</v>
      </c>
      <c r="N204" s="21" t="s">
        <v>127</v>
      </c>
      <c r="O204" s="8" t="s">
        <v>125</v>
      </c>
    </row>
    <row r="205" spans="1:15" ht="15" x14ac:dyDescent="0.25">
      <c r="A205" t="s">
        <v>110</v>
      </c>
      <c r="B205" t="s">
        <v>108</v>
      </c>
      <c r="C205">
        <v>901.27</v>
      </c>
      <c r="D205" s="8" t="s">
        <v>135</v>
      </c>
      <c r="E205" t="s">
        <v>121</v>
      </c>
      <c r="F205" t="s">
        <v>19</v>
      </c>
      <c r="G205" t="s">
        <v>98</v>
      </c>
      <c r="H205" s="8" t="s">
        <v>115</v>
      </c>
      <c r="I205" s="5">
        <v>44811</v>
      </c>
      <c r="J205" t="s">
        <v>23</v>
      </c>
      <c r="K205" t="s">
        <v>121</v>
      </c>
      <c r="L205" s="22">
        <v>4.0000000000000001E-3</v>
      </c>
      <c r="M205" s="8" t="s">
        <v>124</v>
      </c>
      <c r="N205" s="21" t="s">
        <v>127</v>
      </c>
      <c r="O205" s="8" t="s">
        <v>125</v>
      </c>
    </row>
    <row r="206" spans="1:15" ht="15" x14ac:dyDescent="0.25">
      <c r="A206" t="s">
        <v>110</v>
      </c>
      <c r="B206" t="s">
        <v>108</v>
      </c>
      <c r="C206">
        <v>901.27</v>
      </c>
      <c r="D206" s="8" t="s">
        <v>135</v>
      </c>
      <c r="E206" t="s">
        <v>113</v>
      </c>
      <c r="F206" t="s">
        <v>19</v>
      </c>
      <c r="G206" t="s">
        <v>130</v>
      </c>
      <c r="H206" s="8" t="s">
        <v>115</v>
      </c>
      <c r="I206" s="5">
        <v>44811</v>
      </c>
      <c r="J206" t="s">
        <v>23</v>
      </c>
      <c r="K206" t="s">
        <v>113</v>
      </c>
      <c r="L206" s="22">
        <v>1.0999999999999999E-2</v>
      </c>
      <c r="M206" s="8" t="s">
        <v>124</v>
      </c>
      <c r="N206" s="21" t="s">
        <v>127</v>
      </c>
      <c r="O206" s="8" t="s">
        <v>125</v>
      </c>
    </row>
    <row r="207" spans="1:15" ht="15" x14ac:dyDescent="0.25">
      <c r="A207" t="s">
        <v>110</v>
      </c>
      <c r="B207" t="s">
        <v>108</v>
      </c>
      <c r="C207">
        <v>901.27</v>
      </c>
      <c r="D207" s="8" t="s">
        <v>135</v>
      </c>
      <c r="E207" t="s">
        <v>113</v>
      </c>
      <c r="F207" t="s">
        <v>19</v>
      </c>
      <c r="G207" t="s">
        <v>62</v>
      </c>
      <c r="H207" s="8" t="s">
        <v>115</v>
      </c>
      <c r="I207" s="5">
        <v>44818</v>
      </c>
      <c r="J207" t="s">
        <v>119</v>
      </c>
      <c r="K207" t="s">
        <v>113</v>
      </c>
      <c r="L207" s="22" t="s">
        <v>58</v>
      </c>
      <c r="M207" s="8" t="s">
        <v>124</v>
      </c>
      <c r="N207" s="21" t="s">
        <v>127</v>
      </c>
    </row>
    <row r="208" spans="1:15" ht="15" x14ac:dyDescent="0.25">
      <c r="A208" t="s">
        <v>109</v>
      </c>
      <c r="B208" t="s">
        <v>108</v>
      </c>
      <c r="C208">
        <v>901.27</v>
      </c>
      <c r="F208" t="s">
        <v>19</v>
      </c>
      <c r="G208" t="s">
        <v>83</v>
      </c>
      <c r="H208" s="8" t="s">
        <v>115</v>
      </c>
      <c r="I208" s="5">
        <v>44818</v>
      </c>
      <c r="J208" t="s">
        <v>114</v>
      </c>
      <c r="K208" t="s">
        <v>113</v>
      </c>
      <c r="L208" s="22" t="s">
        <v>58</v>
      </c>
      <c r="M208" s="8" t="s">
        <v>124</v>
      </c>
      <c r="N208" s="21" t="s">
        <v>127</v>
      </c>
    </row>
    <row r="209" spans="1:15" ht="15" x14ac:dyDescent="0.25">
      <c r="A209" t="s">
        <v>109</v>
      </c>
      <c r="B209" t="s">
        <v>108</v>
      </c>
      <c r="C209">
        <v>901.27</v>
      </c>
      <c r="F209" t="s">
        <v>19</v>
      </c>
      <c r="G209" t="s">
        <v>84</v>
      </c>
      <c r="H209" s="8" t="s">
        <v>115</v>
      </c>
      <c r="I209" s="5">
        <v>44818</v>
      </c>
      <c r="J209" t="s">
        <v>119</v>
      </c>
      <c r="K209" t="s">
        <v>113</v>
      </c>
      <c r="L209" s="22" t="s">
        <v>58</v>
      </c>
      <c r="M209" s="8" t="s">
        <v>124</v>
      </c>
      <c r="N209" s="21" t="s">
        <v>127</v>
      </c>
    </row>
    <row r="210" spans="1:15" ht="15" x14ac:dyDescent="0.25">
      <c r="A210" t="s">
        <v>109</v>
      </c>
      <c r="B210" t="s">
        <v>108</v>
      </c>
      <c r="C210">
        <v>901.27</v>
      </c>
      <c r="F210" t="s">
        <v>19</v>
      </c>
      <c r="G210" t="s">
        <v>88</v>
      </c>
      <c r="H210" s="8" t="s">
        <v>115</v>
      </c>
      <c r="I210" s="5">
        <v>44818</v>
      </c>
      <c r="J210" t="s">
        <v>114</v>
      </c>
      <c r="K210" t="s">
        <v>113</v>
      </c>
      <c r="L210" s="22" t="s">
        <v>58</v>
      </c>
      <c r="M210" s="8" t="s">
        <v>124</v>
      </c>
      <c r="N210" s="21" t="s">
        <v>127</v>
      </c>
    </row>
    <row r="211" spans="1:15" ht="15" x14ac:dyDescent="0.25">
      <c r="A211" t="s">
        <v>110</v>
      </c>
      <c r="B211" t="s">
        <v>108</v>
      </c>
      <c r="C211">
        <v>901.27</v>
      </c>
      <c r="D211" s="8" t="s">
        <v>135</v>
      </c>
      <c r="E211" t="s">
        <v>113</v>
      </c>
      <c r="F211" t="s">
        <v>19</v>
      </c>
      <c r="G211" t="s">
        <v>129</v>
      </c>
      <c r="H211" s="8" t="s">
        <v>115</v>
      </c>
      <c r="I211" s="5">
        <v>44818</v>
      </c>
      <c r="J211" t="s">
        <v>23</v>
      </c>
      <c r="K211" t="s">
        <v>113</v>
      </c>
      <c r="L211" s="22">
        <v>2.1000000000000001E-2</v>
      </c>
      <c r="M211" s="8" t="s">
        <v>124</v>
      </c>
      <c r="N211" s="21" t="s">
        <v>127</v>
      </c>
      <c r="O211" s="8" t="s">
        <v>126</v>
      </c>
    </row>
    <row r="212" spans="1:15" ht="15" x14ac:dyDescent="0.25">
      <c r="A212" t="s">
        <v>111</v>
      </c>
      <c r="B212" t="s">
        <v>108</v>
      </c>
      <c r="C212">
        <v>901.27</v>
      </c>
      <c r="F212" t="s">
        <v>19</v>
      </c>
      <c r="G212" t="s">
        <v>85</v>
      </c>
      <c r="H212" s="8" t="s">
        <v>115</v>
      </c>
      <c r="I212" s="5">
        <v>44827</v>
      </c>
      <c r="J212" t="s">
        <v>23</v>
      </c>
      <c r="K212" t="s">
        <v>112</v>
      </c>
      <c r="L212" s="22">
        <v>4.7999999999999996E-3</v>
      </c>
      <c r="M212" s="8" t="s">
        <v>124</v>
      </c>
      <c r="N212" s="21" t="s">
        <v>127</v>
      </c>
      <c r="O212" s="8" t="s">
        <v>126</v>
      </c>
    </row>
    <row r="213" spans="1:15" ht="15" x14ac:dyDescent="0.25">
      <c r="A213" t="s">
        <v>110</v>
      </c>
      <c r="B213" t="s">
        <v>108</v>
      </c>
      <c r="C213">
        <v>901.27</v>
      </c>
      <c r="D213" s="8" t="s">
        <v>134</v>
      </c>
      <c r="E213" t="s">
        <v>113</v>
      </c>
      <c r="F213" t="s">
        <v>19</v>
      </c>
      <c r="G213" t="s">
        <v>132</v>
      </c>
      <c r="H213" s="8" t="s">
        <v>115</v>
      </c>
      <c r="I213" s="5">
        <v>44827</v>
      </c>
      <c r="J213" t="s">
        <v>114</v>
      </c>
      <c r="K213" t="s">
        <v>113</v>
      </c>
      <c r="L213" s="22" t="s">
        <v>58</v>
      </c>
      <c r="M213" s="8" t="s">
        <v>124</v>
      </c>
      <c r="N213" s="21" t="s">
        <v>127</v>
      </c>
    </row>
    <row r="214" spans="1:15" ht="15" x14ac:dyDescent="0.25">
      <c r="A214" t="s">
        <v>111</v>
      </c>
      <c r="B214" t="s">
        <v>108</v>
      </c>
      <c r="C214">
        <v>901.27</v>
      </c>
      <c r="F214" t="s">
        <v>19</v>
      </c>
      <c r="G214" t="s">
        <v>64</v>
      </c>
      <c r="H214" s="8" t="s">
        <v>115</v>
      </c>
      <c r="I214" s="5">
        <v>44831</v>
      </c>
      <c r="J214" t="s">
        <v>23</v>
      </c>
      <c r="K214" t="s">
        <v>112</v>
      </c>
      <c r="L214" s="22">
        <v>7.0000000000000001E-3</v>
      </c>
      <c r="M214" s="8" t="s">
        <v>124</v>
      </c>
      <c r="N214" s="21" t="s">
        <v>127</v>
      </c>
      <c r="O214" s="8" t="s">
        <v>125</v>
      </c>
    </row>
    <row r="215" spans="1:15" ht="15" x14ac:dyDescent="0.25">
      <c r="A215" t="s">
        <v>111</v>
      </c>
      <c r="B215" t="s">
        <v>108</v>
      </c>
      <c r="C215">
        <v>901.27</v>
      </c>
      <c r="F215" t="s">
        <v>19</v>
      </c>
      <c r="G215" t="s">
        <v>79</v>
      </c>
      <c r="H215" s="8" t="s">
        <v>115</v>
      </c>
      <c r="I215" s="5">
        <v>44831</v>
      </c>
      <c r="J215" t="s">
        <v>114</v>
      </c>
      <c r="K215" t="s">
        <v>113</v>
      </c>
      <c r="L215" s="22" t="s">
        <v>58</v>
      </c>
      <c r="M215" s="8" t="s">
        <v>124</v>
      </c>
      <c r="N215" s="21" t="s">
        <v>127</v>
      </c>
    </row>
    <row r="216" spans="1:15" ht="15" x14ac:dyDescent="0.25">
      <c r="A216" t="s">
        <v>111</v>
      </c>
      <c r="B216" t="s">
        <v>108</v>
      </c>
      <c r="C216">
        <v>901.27</v>
      </c>
      <c r="F216" t="s">
        <v>19</v>
      </c>
      <c r="G216" t="s">
        <v>80</v>
      </c>
      <c r="H216" s="8" t="s">
        <v>115</v>
      </c>
      <c r="I216" s="5">
        <v>44831</v>
      </c>
      <c r="J216" t="s">
        <v>23</v>
      </c>
      <c r="K216" t="s">
        <v>113</v>
      </c>
      <c r="L216" s="22">
        <v>2.1999999999999999E-2</v>
      </c>
      <c r="M216" s="8" t="s">
        <v>124</v>
      </c>
      <c r="N216" s="21" t="s">
        <v>127</v>
      </c>
      <c r="O216" s="8" t="s">
        <v>125</v>
      </c>
    </row>
    <row r="217" spans="1:15" ht="15" x14ac:dyDescent="0.25">
      <c r="A217" t="s">
        <v>111</v>
      </c>
      <c r="B217" t="s">
        <v>108</v>
      </c>
      <c r="C217">
        <v>901.27</v>
      </c>
      <c r="F217" t="s">
        <v>19</v>
      </c>
      <c r="G217" t="s">
        <v>87</v>
      </c>
      <c r="H217" s="8" t="s">
        <v>115</v>
      </c>
      <c r="I217" s="5">
        <v>44831</v>
      </c>
      <c r="J217" t="s">
        <v>119</v>
      </c>
      <c r="K217" t="s">
        <v>113</v>
      </c>
      <c r="L217" s="22" t="s">
        <v>58</v>
      </c>
      <c r="M217" s="8" t="s">
        <v>124</v>
      </c>
      <c r="N217" s="21" t="s">
        <v>127</v>
      </c>
    </row>
    <row r="218" spans="1:15" ht="15" x14ac:dyDescent="0.25">
      <c r="A218" t="s">
        <v>111</v>
      </c>
      <c r="B218" t="s">
        <v>108</v>
      </c>
      <c r="C218">
        <v>901.27</v>
      </c>
      <c r="F218" t="s">
        <v>19</v>
      </c>
      <c r="G218" t="s">
        <v>87</v>
      </c>
      <c r="H218" s="8" t="s">
        <v>115</v>
      </c>
      <c r="I218" s="5">
        <v>44831</v>
      </c>
      <c r="J218" t="s">
        <v>119</v>
      </c>
      <c r="K218" t="s">
        <v>113</v>
      </c>
      <c r="L218" s="22" t="s">
        <v>58</v>
      </c>
      <c r="M218" s="8" t="s">
        <v>124</v>
      </c>
      <c r="N218" s="21" t="s">
        <v>127</v>
      </c>
    </row>
    <row r="219" spans="1:15" ht="15" x14ac:dyDescent="0.25">
      <c r="A219" t="s">
        <v>111</v>
      </c>
      <c r="B219" t="s">
        <v>108</v>
      </c>
      <c r="C219">
        <v>901.27</v>
      </c>
      <c r="F219" t="s">
        <v>19</v>
      </c>
      <c r="G219" t="s">
        <v>102</v>
      </c>
      <c r="H219" s="8" t="s">
        <v>115</v>
      </c>
      <c r="I219" s="5">
        <v>44831</v>
      </c>
      <c r="J219" t="s">
        <v>114</v>
      </c>
      <c r="K219" t="s">
        <v>113</v>
      </c>
      <c r="L219" s="22" t="s">
        <v>58</v>
      </c>
      <c r="M219" s="8" t="s">
        <v>124</v>
      </c>
      <c r="N219" s="21" t="s">
        <v>127</v>
      </c>
    </row>
    <row r="220" spans="1:15" ht="15" x14ac:dyDescent="0.25">
      <c r="A220" t="s">
        <v>111</v>
      </c>
      <c r="B220" t="s">
        <v>108</v>
      </c>
      <c r="C220">
        <v>901.27</v>
      </c>
      <c r="F220" t="s">
        <v>19</v>
      </c>
      <c r="G220" t="s">
        <v>103</v>
      </c>
      <c r="H220" s="8" t="s">
        <v>115</v>
      </c>
      <c r="I220" s="5">
        <v>44831</v>
      </c>
      <c r="J220" t="s">
        <v>23</v>
      </c>
      <c r="K220" t="s">
        <v>113</v>
      </c>
      <c r="L220" s="22">
        <v>0</v>
      </c>
      <c r="M220" s="8" t="s">
        <v>124</v>
      </c>
      <c r="N220" s="21" t="s">
        <v>127</v>
      </c>
      <c r="O220" s="8" t="s">
        <v>125</v>
      </c>
    </row>
    <row r="221" spans="1:15" ht="15" x14ac:dyDescent="0.25">
      <c r="A221" t="s">
        <v>109</v>
      </c>
      <c r="B221" t="s">
        <v>108</v>
      </c>
      <c r="C221">
        <v>901.27</v>
      </c>
      <c r="F221" t="s">
        <v>19</v>
      </c>
      <c r="G221" t="s">
        <v>95</v>
      </c>
      <c r="H221" s="8" t="s">
        <v>115</v>
      </c>
      <c r="I221" s="5">
        <v>44832</v>
      </c>
      <c r="J221" t="s">
        <v>23</v>
      </c>
      <c r="K221" t="s">
        <v>121</v>
      </c>
      <c r="L221" s="22">
        <v>6.0000000000000001E-3</v>
      </c>
      <c r="M221" s="8" t="s">
        <v>124</v>
      </c>
      <c r="N221" s="21" t="s">
        <v>127</v>
      </c>
      <c r="O221" s="8" t="s">
        <v>125</v>
      </c>
    </row>
    <row r="222" spans="1:15" ht="15" x14ac:dyDescent="0.25">
      <c r="A222" t="s">
        <v>110</v>
      </c>
      <c r="B222" t="s">
        <v>108</v>
      </c>
      <c r="C222">
        <v>901.27</v>
      </c>
      <c r="D222" s="8" t="s">
        <v>135</v>
      </c>
      <c r="E222" t="s">
        <v>58</v>
      </c>
      <c r="F222" t="s">
        <v>19</v>
      </c>
      <c r="G222" t="s">
        <v>71</v>
      </c>
      <c r="H222" s="8" t="s">
        <v>107</v>
      </c>
      <c r="I222" s="5">
        <v>45055</v>
      </c>
      <c r="J222" t="s">
        <v>114</v>
      </c>
      <c r="K222" t="s">
        <v>58</v>
      </c>
      <c r="L222" s="22" t="s">
        <v>58</v>
      </c>
      <c r="M222" s="8" t="s">
        <v>124</v>
      </c>
      <c r="N222" s="21" t="s">
        <v>127</v>
      </c>
    </row>
    <row r="223" spans="1:15" ht="15" x14ac:dyDescent="0.25">
      <c r="A223" t="s">
        <v>110</v>
      </c>
      <c r="B223" t="s">
        <v>108</v>
      </c>
      <c r="C223">
        <v>901.27</v>
      </c>
      <c r="D223" s="8" t="s">
        <v>135</v>
      </c>
      <c r="E223" t="s">
        <v>121</v>
      </c>
      <c r="F223" t="s">
        <v>19</v>
      </c>
      <c r="G223" t="s">
        <v>86</v>
      </c>
      <c r="H223" s="8" t="s">
        <v>107</v>
      </c>
      <c r="I223" s="5">
        <v>45055</v>
      </c>
      <c r="J223" t="s">
        <v>23</v>
      </c>
      <c r="K223" t="s">
        <v>121</v>
      </c>
      <c r="L223" s="22">
        <v>0.17734900000000001</v>
      </c>
      <c r="M223" s="8" t="s">
        <v>124</v>
      </c>
      <c r="N223" s="21" t="s">
        <v>127</v>
      </c>
      <c r="O223" s="8" t="s">
        <v>126</v>
      </c>
    </row>
    <row r="224" spans="1:15" ht="15" x14ac:dyDescent="0.25">
      <c r="A224" t="s">
        <v>110</v>
      </c>
      <c r="B224" t="s">
        <v>108</v>
      </c>
      <c r="C224">
        <v>901.27</v>
      </c>
      <c r="D224" s="8" t="s">
        <v>135</v>
      </c>
      <c r="E224" t="s">
        <v>121</v>
      </c>
      <c r="F224" t="s">
        <v>19</v>
      </c>
      <c r="G224" t="s">
        <v>86</v>
      </c>
      <c r="H224" s="8" t="s">
        <v>107</v>
      </c>
      <c r="I224" s="5">
        <v>45055</v>
      </c>
      <c r="J224" t="s">
        <v>23</v>
      </c>
      <c r="K224" t="s">
        <v>121</v>
      </c>
      <c r="L224" s="22">
        <v>0.17734900000000001</v>
      </c>
      <c r="M224" s="8" t="s">
        <v>124</v>
      </c>
      <c r="N224" s="21" t="s">
        <v>127</v>
      </c>
      <c r="O224" s="8" t="s">
        <v>126</v>
      </c>
    </row>
    <row r="225" spans="1:15" ht="15" x14ac:dyDescent="0.25">
      <c r="A225" t="s">
        <v>110</v>
      </c>
      <c r="B225" t="s">
        <v>108</v>
      </c>
      <c r="C225">
        <v>901.27</v>
      </c>
      <c r="D225" s="8" t="s">
        <v>135</v>
      </c>
      <c r="E225" t="s">
        <v>121</v>
      </c>
      <c r="F225" t="s">
        <v>19</v>
      </c>
      <c r="G225" t="s">
        <v>130</v>
      </c>
      <c r="H225" s="8" t="s">
        <v>107</v>
      </c>
      <c r="I225" s="5">
        <v>45055</v>
      </c>
      <c r="J225" t="s">
        <v>23</v>
      </c>
      <c r="K225" t="s">
        <v>121</v>
      </c>
      <c r="L225" s="22">
        <v>1.9047999999999999E-2</v>
      </c>
      <c r="M225" s="8" t="s">
        <v>124</v>
      </c>
      <c r="N225" s="21" t="s">
        <v>127</v>
      </c>
      <c r="O225" s="8" t="s">
        <v>126</v>
      </c>
    </row>
    <row r="226" spans="1:15" ht="15" x14ac:dyDescent="0.25">
      <c r="A226" t="s">
        <v>110</v>
      </c>
      <c r="B226" t="s">
        <v>108</v>
      </c>
      <c r="C226">
        <v>901.27</v>
      </c>
      <c r="D226" s="8" t="s">
        <v>134</v>
      </c>
      <c r="E226" t="s">
        <v>58</v>
      </c>
      <c r="F226" t="s">
        <v>19</v>
      </c>
      <c r="G226" t="s">
        <v>133</v>
      </c>
      <c r="H226" s="8" t="s">
        <v>107</v>
      </c>
      <c r="I226" s="5">
        <v>45055</v>
      </c>
      <c r="J226" t="s">
        <v>114</v>
      </c>
      <c r="K226" t="s">
        <v>58</v>
      </c>
      <c r="L226" s="22" t="s">
        <v>58</v>
      </c>
      <c r="M226" s="8" t="s">
        <v>124</v>
      </c>
      <c r="N226" s="21" t="s">
        <v>127</v>
      </c>
    </row>
    <row r="227" spans="1:15" ht="15" x14ac:dyDescent="0.25">
      <c r="A227" t="s">
        <v>110</v>
      </c>
      <c r="B227" t="s">
        <v>108</v>
      </c>
      <c r="C227">
        <v>901.27</v>
      </c>
      <c r="D227" s="8" t="s">
        <v>135</v>
      </c>
      <c r="E227" t="s">
        <v>121</v>
      </c>
      <c r="F227" t="s">
        <v>19</v>
      </c>
      <c r="G227" t="s">
        <v>62</v>
      </c>
      <c r="H227" s="8" t="s">
        <v>107</v>
      </c>
      <c r="I227" s="5">
        <v>45061</v>
      </c>
      <c r="J227" t="s">
        <v>23</v>
      </c>
      <c r="K227" t="s">
        <v>121</v>
      </c>
      <c r="L227" s="22" t="s">
        <v>58</v>
      </c>
      <c r="M227" s="8" t="s">
        <v>124</v>
      </c>
      <c r="N227" s="21" t="s">
        <v>127</v>
      </c>
    </row>
    <row r="228" spans="1:15" ht="15" x14ac:dyDescent="0.25">
      <c r="A228" t="s">
        <v>110</v>
      </c>
      <c r="B228" t="s">
        <v>108</v>
      </c>
      <c r="C228">
        <v>901.27</v>
      </c>
      <c r="D228" s="8" t="s">
        <v>135</v>
      </c>
      <c r="E228" t="s">
        <v>121</v>
      </c>
      <c r="F228" t="s">
        <v>19</v>
      </c>
      <c r="G228" t="s">
        <v>128</v>
      </c>
      <c r="H228" s="8" t="s">
        <v>107</v>
      </c>
      <c r="I228" s="5">
        <v>45061</v>
      </c>
      <c r="J228" t="s">
        <v>23</v>
      </c>
      <c r="K228" t="s">
        <v>121</v>
      </c>
      <c r="L228" s="22">
        <v>0.45751599999999998</v>
      </c>
      <c r="M228" s="8" t="s">
        <v>124</v>
      </c>
      <c r="N228" s="21" t="s">
        <v>127</v>
      </c>
      <c r="O228" s="8" t="s">
        <v>126</v>
      </c>
    </row>
    <row r="229" spans="1:15" ht="15" x14ac:dyDescent="0.25">
      <c r="A229" t="s">
        <v>110</v>
      </c>
      <c r="B229" t="s">
        <v>108</v>
      </c>
      <c r="C229">
        <v>901.27</v>
      </c>
      <c r="D229" s="8" t="s">
        <v>135</v>
      </c>
      <c r="E229" t="s">
        <v>113</v>
      </c>
      <c r="F229" t="s">
        <v>19</v>
      </c>
      <c r="G229" t="s">
        <v>131</v>
      </c>
      <c r="H229" s="8" t="s">
        <v>107</v>
      </c>
      <c r="I229" s="5">
        <v>45061</v>
      </c>
      <c r="J229" t="s">
        <v>114</v>
      </c>
      <c r="K229" t="s">
        <v>113</v>
      </c>
      <c r="L229" s="22" t="s">
        <v>58</v>
      </c>
      <c r="M229" s="8" t="s">
        <v>124</v>
      </c>
      <c r="N229" s="21" t="s">
        <v>127</v>
      </c>
    </row>
    <row r="230" spans="1:15" ht="15" x14ac:dyDescent="0.25">
      <c r="A230" t="s">
        <v>109</v>
      </c>
      <c r="B230" t="s">
        <v>108</v>
      </c>
      <c r="C230">
        <v>901.27</v>
      </c>
      <c r="F230" t="s">
        <v>19</v>
      </c>
      <c r="G230" t="s">
        <v>68</v>
      </c>
      <c r="H230" s="8" t="s">
        <v>107</v>
      </c>
      <c r="I230" s="5">
        <v>45065</v>
      </c>
      <c r="J230" t="s">
        <v>23</v>
      </c>
      <c r="K230" t="s">
        <v>121</v>
      </c>
      <c r="L230" s="22">
        <v>1.4117649999999999</v>
      </c>
      <c r="M230" s="8" t="s">
        <v>124</v>
      </c>
      <c r="N230" s="21" t="s">
        <v>127</v>
      </c>
      <c r="O230" s="8" t="s">
        <v>126</v>
      </c>
    </row>
    <row r="231" spans="1:15" ht="15" x14ac:dyDescent="0.25">
      <c r="A231" t="s">
        <v>109</v>
      </c>
      <c r="B231" t="s">
        <v>108</v>
      </c>
      <c r="C231">
        <v>901.27</v>
      </c>
      <c r="F231" t="s">
        <v>19</v>
      </c>
      <c r="G231" t="s">
        <v>74</v>
      </c>
      <c r="H231" s="8" t="s">
        <v>107</v>
      </c>
      <c r="I231" s="5">
        <v>45065</v>
      </c>
      <c r="J231" t="s">
        <v>120</v>
      </c>
      <c r="K231" t="s">
        <v>113</v>
      </c>
      <c r="L231" s="22" t="s">
        <v>58</v>
      </c>
      <c r="M231" s="8" t="s">
        <v>124</v>
      </c>
      <c r="N231" s="21" t="s">
        <v>127</v>
      </c>
    </row>
    <row r="232" spans="1:15" ht="15" x14ac:dyDescent="0.25">
      <c r="A232" t="s">
        <v>109</v>
      </c>
      <c r="B232" t="s">
        <v>108</v>
      </c>
      <c r="C232">
        <v>901.27</v>
      </c>
      <c r="F232" t="s">
        <v>19</v>
      </c>
      <c r="G232" t="s">
        <v>89</v>
      </c>
      <c r="H232" s="8" t="s">
        <v>107</v>
      </c>
      <c r="I232" s="5">
        <v>45065</v>
      </c>
      <c r="J232" t="s">
        <v>119</v>
      </c>
      <c r="K232" t="s">
        <v>113</v>
      </c>
      <c r="L232" s="22" t="s">
        <v>58</v>
      </c>
      <c r="M232" s="8" t="s">
        <v>124</v>
      </c>
      <c r="N232" s="21" t="s">
        <v>127</v>
      </c>
    </row>
    <row r="233" spans="1:15" ht="15" x14ac:dyDescent="0.25">
      <c r="A233" t="s">
        <v>110</v>
      </c>
      <c r="B233" t="s">
        <v>108</v>
      </c>
      <c r="C233">
        <v>901.27</v>
      </c>
      <c r="D233" s="8" t="s">
        <v>134</v>
      </c>
      <c r="E233" t="s">
        <v>58</v>
      </c>
      <c r="F233" t="s">
        <v>19</v>
      </c>
      <c r="G233" t="s">
        <v>132</v>
      </c>
      <c r="H233" s="8" t="s">
        <v>107</v>
      </c>
      <c r="I233" s="5">
        <v>45071</v>
      </c>
      <c r="J233" t="s">
        <v>114</v>
      </c>
      <c r="K233" t="s">
        <v>58</v>
      </c>
      <c r="L233" s="22" t="s">
        <v>58</v>
      </c>
      <c r="M233" s="8" t="s">
        <v>124</v>
      </c>
      <c r="N233" s="21" t="s">
        <v>127</v>
      </c>
    </row>
    <row r="234" spans="1:15" ht="15" x14ac:dyDescent="0.25">
      <c r="A234" t="s">
        <v>111</v>
      </c>
      <c r="B234" t="s">
        <v>108</v>
      </c>
      <c r="C234">
        <v>901.27</v>
      </c>
      <c r="F234" t="s">
        <v>19</v>
      </c>
      <c r="G234" t="s">
        <v>64</v>
      </c>
      <c r="H234" s="8" t="s">
        <v>107</v>
      </c>
      <c r="I234" s="5">
        <v>45076</v>
      </c>
      <c r="J234" t="s">
        <v>58</v>
      </c>
      <c r="K234" t="s">
        <v>112</v>
      </c>
      <c r="L234" s="22" t="s">
        <v>58</v>
      </c>
      <c r="M234" s="8" t="s">
        <v>124</v>
      </c>
      <c r="N234" s="21" t="s">
        <v>127</v>
      </c>
    </row>
    <row r="235" spans="1:15" ht="15" x14ac:dyDescent="0.25">
      <c r="A235" t="s">
        <v>111</v>
      </c>
      <c r="B235" t="s">
        <v>108</v>
      </c>
      <c r="C235">
        <v>901.27</v>
      </c>
      <c r="F235" t="s">
        <v>19</v>
      </c>
      <c r="G235" t="s">
        <v>79</v>
      </c>
      <c r="H235" s="8" t="s">
        <v>107</v>
      </c>
      <c r="I235" s="5">
        <v>45076</v>
      </c>
      <c r="J235" t="s">
        <v>114</v>
      </c>
      <c r="K235" t="s">
        <v>113</v>
      </c>
      <c r="L235" s="22" t="s">
        <v>58</v>
      </c>
      <c r="M235" s="8" t="s">
        <v>124</v>
      </c>
      <c r="N235" s="21" t="s">
        <v>127</v>
      </c>
    </row>
    <row r="236" spans="1:15" ht="15" x14ac:dyDescent="0.25">
      <c r="A236" t="s">
        <v>111</v>
      </c>
      <c r="B236" t="s">
        <v>108</v>
      </c>
      <c r="C236">
        <v>901.27</v>
      </c>
      <c r="F236" t="s">
        <v>19</v>
      </c>
      <c r="G236" t="s">
        <v>80</v>
      </c>
      <c r="H236" s="8" t="s">
        <v>107</v>
      </c>
      <c r="I236" s="5">
        <v>45076</v>
      </c>
      <c r="J236" t="s">
        <v>23</v>
      </c>
      <c r="K236" t="s">
        <v>123</v>
      </c>
      <c r="L236" s="22" t="s">
        <v>58</v>
      </c>
      <c r="M236" s="8" t="s">
        <v>124</v>
      </c>
      <c r="N236" s="21" t="s">
        <v>127</v>
      </c>
    </row>
    <row r="237" spans="1:15" ht="15" x14ac:dyDescent="0.25">
      <c r="A237" t="s">
        <v>111</v>
      </c>
      <c r="B237" t="s">
        <v>108</v>
      </c>
      <c r="C237">
        <v>901.27</v>
      </c>
      <c r="F237" t="s">
        <v>19</v>
      </c>
      <c r="G237" t="s">
        <v>85</v>
      </c>
      <c r="H237" s="8" t="s">
        <v>107</v>
      </c>
      <c r="I237" s="5">
        <v>45076</v>
      </c>
      <c r="J237" t="s">
        <v>23</v>
      </c>
      <c r="K237" t="s">
        <v>112</v>
      </c>
      <c r="L237" s="22" t="s">
        <v>58</v>
      </c>
      <c r="M237" s="8" t="s">
        <v>124</v>
      </c>
      <c r="N237" s="21" t="s">
        <v>127</v>
      </c>
    </row>
    <row r="238" spans="1:15" ht="15" x14ac:dyDescent="0.25">
      <c r="A238" t="s">
        <v>111</v>
      </c>
      <c r="B238" t="s">
        <v>108</v>
      </c>
      <c r="C238">
        <v>901.27</v>
      </c>
      <c r="F238" t="s">
        <v>19</v>
      </c>
      <c r="G238" t="s">
        <v>87</v>
      </c>
      <c r="H238" s="8" t="s">
        <v>107</v>
      </c>
      <c r="I238" s="5">
        <v>45076</v>
      </c>
      <c r="J238" t="s">
        <v>120</v>
      </c>
      <c r="K238" t="s">
        <v>58</v>
      </c>
      <c r="L238" s="22" t="s">
        <v>58</v>
      </c>
      <c r="M238" s="8" t="s">
        <v>124</v>
      </c>
      <c r="N238" s="21" t="s">
        <v>127</v>
      </c>
    </row>
    <row r="239" spans="1:15" ht="15" x14ac:dyDescent="0.25">
      <c r="A239" t="s">
        <v>111</v>
      </c>
      <c r="B239" t="s">
        <v>108</v>
      </c>
      <c r="C239">
        <v>901.27</v>
      </c>
      <c r="F239" t="s">
        <v>19</v>
      </c>
      <c r="G239" t="s">
        <v>87</v>
      </c>
      <c r="H239" s="8" t="s">
        <v>107</v>
      </c>
      <c r="I239" s="5">
        <v>45076</v>
      </c>
      <c r="J239" t="s">
        <v>120</v>
      </c>
      <c r="K239" t="s">
        <v>58</v>
      </c>
      <c r="L239" s="22" t="s">
        <v>58</v>
      </c>
      <c r="M239" s="8" t="s">
        <v>124</v>
      </c>
      <c r="N239" s="21" t="s">
        <v>127</v>
      </c>
    </row>
    <row r="240" spans="1:15" ht="15" x14ac:dyDescent="0.25">
      <c r="A240" t="s">
        <v>111</v>
      </c>
      <c r="B240" t="s">
        <v>108</v>
      </c>
      <c r="C240">
        <v>901.27</v>
      </c>
      <c r="F240" t="s">
        <v>19</v>
      </c>
      <c r="G240" t="s">
        <v>102</v>
      </c>
      <c r="H240" s="8" t="s">
        <v>107</v>
      </c>
      <c r="I240" s="5">
        <v>45076</v>
      </c>
      <c r="J240" t="s">
        <v>23</v>
      </c>
      <c r="K240" t="s">
        <v>113</v>
      </c>
      <c r="L240" s="22">
        <v>9.1669999999999998E-3</v>
      </c>
      <c r="M240" s="8" t="s">
        <v>124</v>
      </c>
      <c r="N240" s="21" t="s">
        <v>127</v>
      </c>
      <c r="O240" s="8" t="s">
        <v>126</v>
      </c>
    </row>
    <row r="241" spans="1:14" ht="15" x14ac:dyDescent="0.25">
      <c r="A241" t="s">
        <v>111</v>
      </c>
      <c r="B241" t="s">
        <v>108</v>
      </c>
      <c r="C241">
        <v>901.27</v>
      </c>
      <c r="F241" t="s">
        <v>19</v>
      </c>
      <c r="G241" t="s">
        <v>103</v>
      </c>
      <c r="H241" s="8" t="s">
        <v>107</v>
      </c>
      <c r="I241" s="5">
        <v>45076</v>
      </c>
      <c r="J241" t="s">
        <v>23</v>
      </c>
      <c r="K241" t="s">
        <v>112</v>
      </c>
      <c r="L241" s="22" t="s">
        <v>58</v>
      </c>
      <c r="M241" s="8" t="s">
        <v>124</v>
      </c>
      <c r="N241" s="21" t="s">
        <v>127</v>
      </c>
    </row>
    <row r="242" spans="1:14" ht="15" x14ac:dyDescent="0.25">
      <c r="A242" t="s">
        <v>109</v>
      </c>
      <c r="B242" t="s">
        <v>108</v>
      </c>
      <c r="C242">
        <v>901.27</v>
      </c>
      <c r="F242" t="s">
        <v>19</v>
      </c>
      <c r="G242" t="s">
        <v>61</v>
      </c>
      <c r="H242" s="8" t="s">
        <v>107</v>
      </c>
      <c r="I242" s="5">
        <v>45082</v>
      </c>
      <c r="J242" t="s">
        <v>114</v>
      </c>
      <c r="K242" t="s">
        <v>113</v>
      </c>
      <c r="L242" s="22" t="s">
        <v>58</v>
      </c>
      <c r="M242" s="8" t="s">
        <v>124</v>
      </c>
      <c r="N242" s="21" t="s">
        <v>127</v>
      </c>
    </row>
    <row r="243" spans="1:14" ht="15" x14ac:dyDescent="0.25">
      <c r="A243" t="s">
        <v>109</v>
      </c>
      <c r="B243" t="s">
        <v>108</v>
      </c>
      <c r="C243">
        <v>901.27</v>
      </c>
      <c r="F243" t="s">
        <v>19</v>
      </c>
      <c r="G243" t="s">
        <v>63</v>
      </c>
      <c r="H243" s="8" t="s">
        <v>107</v>
      </c>
      <c r="I243" s="5">
        <v>45082</v>
      </c>
      <c r="J243" t="s">
        <v>23</v>
      </c>
      <c r="K243" t="s">
        <v>58</v>
      </c>
      <c r="L243" s="22" t="s">
        <v>58</v>
      </c>
      <c r="M243" s="8" t="s">
        <v>124</v>
      </c>
      <c r="N243" s="21" t="s">
        <v>127</v>
      </c>
    </row>
    <row r="244" spans="1:14" ht="15" x14ac:dyDescent="0.25">
      <c r="A244" t="s">
        <v>109</v>
      </c>
      <c r="B244" t="s">
        <v>108</v>
      </c>
      <c r="C244">
        <v>901.27</v>
      </c>
      <c r="F244" t="s">
        <v>19</v>
      </c>
      <c r="G244" t="s">
        <v>65</v>
      </c>
      <c r="H244" s="8" t="s">
        <v>107</v>
      </c>
      <c r="I244" s="5">
        <v>45082</v>
      </c>
      <c r="J244" t="s">
        <v>114</v>
      </c>
      <c r="K244" t="s">
        <v>113</v>
      </c>
      <c r="L244" s="22" t="s">
        <v>58</v>
      </c>
      <c r="M244" s="8" t="s">
        <v>124</v>
      </c>
      <c r="N244" s="21" t="s">
        <v>127</v>
      </c>
    </row>
    <row r="245" spans="1:14" ht="15" x14ac:dyDescent="0.25">
      <c r="A245" t="s">
        <v>109</v>
      </c>
      <c r="B245" t="s">
        <v>108</v>
      </c>
      <c r="C245">
        <v>901.27</v>
      </c>
      <c r="F245" t="s">
        <v>19</v>
      </c>
      <c r="G245" t="s">
        <v>66</v>
      </c>
      <c r="H245" s="8" t="s">
        <v>107</v>
      </c>
      <c r="I245" s="5">
        <v>45082</v>
      </c>
      <c r="J245" t="s">
        <v>58</v>
      </c>
      <c r="K245" t="s">
        <v>121</v>
      </c>
      <c r="L245" s="22" t="s">
        <v>58</v>
      </c>
      <c r="M245" s="8" t="s">
        <v>124</v>
      </c>
      <c r="N245" s="21" t="s">
        <v>127</v>
      </c>
    </row>
    <row r="246" spans="1:14" ht="15" x14ac:dyDescent="0.25">
      <c r="A246" t="s">
        <v>109</v>
      </c>
      <c r="B246" t="s">
        <v>108</v>
      </c>
      <c r="C246">
        <v>901.27</v>
      </c>
      <c r="F246" t="s">
        <v>19</v>
      </c>
      <c r="G246" t="s">
        <v>66</v>
      </c>
      <c r="H246" s="8" t="s">
        <v>107</v>
      </c>
      <c r="I246" s="5">
        <v>45082</v>
      </c>
      <c r="J246" t="s">
        <v>119</v>
      </c>
      <c r="K246" t="s">
        <v>121</v>
      </c>
      <c r="L246" s="22" t="s">
        <v>58</v>
      </c>
      <c r="M246" s="8" t="s">
        <v>124</v>
      </c>
      <c r="N246" s="21" t="s">
        <v>127</v>
      </c>
    </row>
    <row r="247" spans="1:14" ht="15" x14ac:dyDescent="0.25">
      <c r="A247" t="s">
        <v>109</v>
      </c>
      <c r="B247" t="s">
        <v>108</v>
      </c>
      <c r="C247">
        <v>901.27</v>
      </c>
      <c r="F247" t="s">
        <v>19</v>
      </c>
      <c r="G247" t="s">
        <v>67</v>
      </c>
      <c r="H247" s="8" t="s">
        <v>107</v>
      </c>
      <c r="I247" s="5">
        <v>45082</v>
      </c>
      <c r="J247" t="s">
        <v>119</v>
      </c>
      <c r="K247" t="s">
        <v>113</v>
      </c>
      <c r="L247" s="22" t="s">
        <v>58</v>
      </c>
      <c r="M247" s="8" t="s">
        <v>124</v>
      </c>
      <c r="N247" s="21" t="s">
        <v>127</v>
      </c>
    </row>
    <row r="248" spans="1:14" ht="15" x14ac:dyDescent="0.25">
      <c r="A248" t="s">
        <v>109</v>
      </c>
      <c r="B248" t="s">
        <v>108</v>
      </c>
      <c r="C248">
        <v>901.27</v>
      </c>
      <c r="F248" t="s">
        <v>19</v>
      </c>
      <c r="G248" t="s">
        <v>70</v>
      </c>
      <c r="H248" s="8" t="s">
        <v>107</v>
      </c>
      <c r="I248" s="5">
        <v>45082</v>
      </c>
      <c r="J248" t="s">
        <v>114</v>
      </c>
      <c r="K248" t="s">
        <v>58</v>
      </c>
      <c r="L248" s="22" t="s">
        <v>58</v>
      </c>
      <c r="M248" s="8" t="s">
        <v>124</v>
      </c>
      <c r="N248" s="21" t="s">
        <v>127</v>
      </c>
    </row>
    <row r="249" spans="1:14" ht="15" x14ac:dyDescent="0.25">
      <c r="A249" t="s">
        <v>109</v>
      </c>
      <c r="B249" t="s">
        <v>108</v>
      </c>
      <c r="C249">
        <v>901.27</v>
      </c>
      <c r="F249" t="s">
        <v>19</v>
      </c>
      <c r="G249" t="s">
        <v>70</v>
      </c>
      <c r="H249" s="8" t="s">
        <v>107</v>
      </c>
      <c r="I249" s="5">
        <v>45082</v>
      </c>
      <c r="J249" t="s">
        <v>114</v>
      </c>
      <c r="K249" t="s">
        <v>58</v>
      </c>
      <c r="L249" s="22" t="s">
        <v>58</v>
      </c>
      <c r="M249" s="8" t="s">
        <v>124</v>
      </c>
      <c r="N249" s="21" t="s">
        <v>127</v>
      </c>
    </row>
    <row r="250" spans="1:14" ht="15" x14ac:dyDescent="0.25">
      <c r="A250" t="s">
        <v>109</v>
      </c>
      <c r="B250" t="s">
        <v>108</v>
      </c>
      <c r="C250">
        <v>901.27</v>
      </c>
      <c r="F250" t="s">
        <v>19</v>
      </c>
      <c r="G250" t="s">
        <v>75</v>
      </c>
      <c r="H250" s="8" t="s">
        <v>107</v>
      </c>
      <c r="I250" s="5">
        <v>45082</v>
      </c>
      <c r="J250" t="s">
        <v>114</v>
      </c>
      <c r="K250" t="s">
        <v>58</v>
      </c>
      <c r="L250" s="22" t="s">
        <v>58</v>
      </c>
      <c r="M250" s="8" t="s">
        <v>124</v>
      </c>
      <c r="N250" s="21" t="s">
        <v>127</v>
      </c>
    </row>
    <row r="251" spans="1:14" ht="15" x14ac:dyDescent="0.25">
      <c r="A251" t="s">
        <v>109</v>
      </c>
      <c r="B251" t="s">
        <v>108</v>
      </c>
      <c r="C251">
        <v>901.27</v>
      </c>
      <c r="F251" t="s">
        <v>19</v>
      </c>
      <c r="G251" t="s">
        <v>78</v>
      </c>
      <c r="H251" s="8" t="s">
        <v>107</v>
      </c>
      <c r="I251" s="5">
        <v>45082</v>
      </c>
      <c r="J251" t="s">
        <v>119</v>
      </c>
      <c r="K251" t="s">
        <v>113</v>
      </c>
      <c r="L251" s="22" t="s">
        <v>58</v>
      </c>
      <c r="M251" s="8" t="s">
        <v>124</v>
      </c>
      <c r="N251" s="21" t="s">
        <v>127</v>
      </c>
    </row>
    <row r="252" spans="1:14" ht="15" x14ac:dyDescent="0.25">
      <c r="A252" t="s">
        <v>109</v>
      </c>
      <c r="B252" t="s">
        <v>108</v>
      </c>
      <c r="C252">
        <v>901.27</v>
      </c>
      <c r="F252" t="s">
        <v>19</v>
      </c>
      <c r="G252" t="s">
        <v>90</v>
      </c>
      <c r="H252" s="8" t="s">
        <v>107</v>
      </c>
      <c r="I252" s="5">
        <v>45082</v>
      </c>
      <c r="J252" t="s">
        <v>119</v>
      </c>
      <c r="K252" t="s">
        <v>121</v>
      </c>
      <c r="L252" s="22" t="s">
        <v>58</v>
      </c>
      <c r="M252" s="8" t="s">
        <v>124</v>
      </c>
      <c r="N252" s="21" t="s">
        <v>127</v>
      </c>
    </row>
    <row r="253" spans="1:14" ht="15" x14ac:dyDescent="0.25">
      <c r="A253" t="s">
        <v>109</v>
      </c>
      <c r="B253" t="s">
        <v>108</v>
      </c>
      <c r="C253">
        <v>901.27</v>
      </c>
      <c r="F253" t="s">
        <v>19</v>
      </c>
      <c r="G253" t="s">
        <v>91</v>
      </c>
      <c r="H253" s="8" t="s">
        <v>107</v>
      </c>
      <c r="I253" s="5">
        <v>45082</v>
      </c>
      <c r="J253" t="s">
        <v>120</v>
      </c>
      <c r="K253" t="s">
        <v>123</v>
      </c>
      <c r="L253" s="22" t="s">
        <v>58</v>
      </c>
      <c r="M253" s="8" t="s">
        <v>124</v>
      </c>
      <c r="N253" s="21" t="s">
        <v>127</v>
      </c>
    </row>
    <row r="254" spans="1:14" ht="15" x14ac:dyDescent="0.25">
      <c r="A254" t="s">
        <v>109</v>
      </c>
      <c r="B254" t="s">
        <v>108</v>
      </c>
      <c r="C254">
        <v>901.27</v>
      </c>
      <c r="F254" t="s">
        <v>19</v>
      </c>
      <c r="G254" t="s">
        <v>92</v>
      </c>
      <c r="H254" s="8" t="s">
        <v>107</v>
      </c>
      <c r="I254" s="5">
        <v>45082</v>
      </c>
      <c r="J254" t="s">
        <v>119</v>
      </c>
      <c r="K254" t="s">
        <v>121</v>
      </c>
      <c r="L254" s="22" t="s">
        <v>58</v>
      </c>
      <c r="M254" s="8" t="s">
        <v>124</v>
      </c>
      <c r="N254" s="21" t="s">
        <v>127</v>
      </c>
    </row>
    <row r="255" spans="1:14" ht="15" x14ac:dyDescent="0.25">
      <c r="A255" t="s">
        <v>109</v>
      </c>
      <c r="B255" t="s">
        <v>108</v>
      </c>
      <c r="C255">
        <v>901.27</v>
      </c>
      <c r="F255" t="s">
        <v>19</v>
      </c>
      <c r="G255" t="s">
        <v>93</v>
      </c>
      <c r="H255" s="8" t="s">
        <v>107</v>
      </c>
      <c r="I255" s="5">
        <v>45082</v>
      </c>
      <c r="J255" t="s">
        <v>120</v>
      </c>
      <c r="K255" t="s">
        <v>123</v>
      </c>
      <c r="L255" s="22" t="s">
        <v>58</v>
      </c>
      <c r="M255" s="8" t="s">
        <v>124</v>
      </c>
      <c r="N255" s="21" t="s">
        <v>127</v>
      </c>
    </row>
    <row r="256" spans="1:14" ht="15" x14ac:dyDescent="0.25">
      <c r="A256" t="s">
        <v>109</v>
      </c>
      <c r="B256" t="s">
        <v>108</v>
      </c>
      <c r="C256">
        <v>901.27</v>
      </c>
      <c r="F256" t="s">
        <v>19</v>
      </c>
      <c r="G256" t="s">
        <v>94</v>
      </c>
      <c r="H256" s="8" t="s">
        <v>107</v>
      </c>
      <c r="I256" s="5">
        <v>45082</v>
      </c>
      <c r="J256" t="s">
        <v>114</v>
      </c>
      <c r="K256" t="s">
        <v>113</v>
      </c>
      <c r="L256" s="22" t="s">
        <v>58</v>
      </c>
      <c r="M256" s="8" t="s">
        <v>124</v>
      </c>
      <c r="N256" s="21" t="s">
        <v>127</v>
      </c>
    </row>
    <row r="257" spans="1:15" ht="15" x14ac:dyDescent="0.25">
      <c r="A257" t="s">
        <v>109</v>
      </c>
      <c r="B257" t="s">
        <v>108</v>
      </c>
      <c r="C257">
        <v>901.27</v>
      </c>
      <c r="F257" t="s">
        <v>19</v>
      </c>
      <c r="G257" t="s">
        <v>96</v>
      </c>
      <c r="H257" s="8" t="s">
        <v>107</v>
      </c>
      <c r="I257" s="5">
        <v>45082</v>
      </c>
      <c r="J257" t="s">
        <v>114</v>
      </c>
      <c r="K257" t="s">
        <v>113</v>
      </c>
      <c r="L257" s="22" t="s">
        <v>58</v>
      </c>
      <c r="M257" s="8" t="s">
        <v>124</v>
      </c>
      <c r="N257" s="21" t="s">
        <v>127</v>
      </c>
    </row>
    <row r="258" spans="1:15" ht="15" x14ac:dyDescent="0.25">
      <c r="A258" t="s">
        <v>109</v>
      </c>
      <c r="B258" t="s">
        <v>108</v>
      </c>
      <c r="C258">
        <v>901.27</v>
      </c>
      <c r="F258" t="s">
        <v>19</v>
      </c>
      <c r="G258" t="s">
        <v>99</v>
      </c>
      <c r="H258" s="8" t="s">
        <v>107</v>
      </c>
      <c r="I258" s="5">
        <v>45082</v>
      </c>
      <c r="J258" t="s">
        <v>120</v>
      </c>
      <c r="K258" t="s">
        <v>113</v>
      </c>
      <c r="L258" s="22" t="s">
        <v>58</v>
      </c>
      <c r="M258" s="8" t="s">
        <v>124</v>
      </c>
      <c r="N258" s="21" t="s">
        <v>127</v>
      </c>
    </row>
    <row r="259" spans="1:15" ht="15" x14ac:dyDescent="0.25">
      <c r="A259" t="s">
        <v>109</v>
      </c>
      <c r="B259" t="s">
        <v>108</v>
      </c>
      <c r="C259">
        <v>901.27</v>
      </c>
      <c r="F259" t="s">
        <v>19</v>
      </c>
      <c r="G259" t="s">
        <v>104</v>
      </c>
      <c r="H259" s="8" t="s">
        <v>107</v>
      </c>
      <c r="I259" s="5">
        <v>45082</v>
      </c>
      <c r="J259" t="s">
        <v>23</v>
      </c>
      <c r="K259" t="s">
        <v>121</v>
      </c>
      <c r="L259" s="22">
        <v>2.2706E-2</v>
      </c>
      <c r="M259" s="8" t="s">
        <v>124</v>
      </c>
      <c r="N259" s="21" t="s">
        <v>127</v>
      </c>
      <c r="O259" s="8" t="s">
        <v>126</v>
      </c>
    </row>
    <row r="260" spans="1:15" ht="15" x14ac:dyDescent="0.25">
      <c r="A260" t="s">
        <v>109</v>
      </c>
      <c r="B260" t="s">
        <v>108</v>
      </c>
      <c r="C260">
        <v>901.27</v>
      </c>
      <c r="F260" t="s">
        <v>19</v>
      </c>
      <c r="G260" t="s">
        <v>104</v>
      </c>
      <c r="H260" s="8" t="s">
        <v>107</v>
      </c>
      <c r="I260" s="5">
        <v>45082</v>
      </c>
      <c r="J260" t="s">
        <v>23</v>
      </c>
      <c r="K260" t="s">
        <v>121</v>
      </c>
      <c r="L260" s="22">
        <v>2.2706E-2</v>
      </c>
      <c r="M260" s="8" t="s">
        <v>124</v>
      </c>
      <c r="N260" s="21" t="s">
        <v>127</v>
      </c>
      <c r="O260" s="8" t="s">
        <v>126</v>
      </c>
    </row>
    <row r="261" spans="1:15" ht="15" x14ac:dyDescent="0.25">
      <c r="A261" t="s">
        <v>109</v>
      </c>
      <c r="B261" t="s">
        <v>108</v>
      </c>
      <c r="C261">
        <v>901.27</v>
      </c>
      <c r="F261" t="s">
        <v>19</v>
      </c>
      <c r="G261" t="s">
        <v>106</v>
      </c>
      <c r="H261" s="8" t="s">
        <v>107</v>
      </c>
      <c r="I261" s="5">
        <v>45082</v>
      </c>
      <c r="J261" t="s">
        <v>114</v>
      </c>
      <c r="K261" t="s">
        <v>113</v>
      </c>
      <c r="L261" s="22" t="s">
        <v>58</v>
      </c>
      <c r="M261" s="8" t="s">
        <v>124</v>
      </c>
      <c r="N261" s="21" t="s">
        <v>127</v>
      </c>
    </row>
    <row r="262" spans="1:15" ht="15" x14ac:dyDescent="0.25">
      <c r="A262" t="s">
        <v>110</v>
      </c>
      <c r="B262" t="s">
        <v>108</v>
      </c>
      <c r="C262">
        <v>901.27</v>
      </c>
      <c r="D262" s="8" t="s">
        <v>135</v>
      </c>
      <c r="E262" t="s">
        <v>112</v>
      </c>
      <c r="F262" t="s">
        <v>19</v>
      </c>
      <c r="G262" t="s">
        <v>69</v>
      </c>
      <c r="H262" s="8" t="s">
        <v>107</v>
      </c>
      <c r="I262" s="5">
        <v>45083</v>
      </c>
      <c r="J262" t="s">
        <v>114</v>
      </c>
      <c r="K262" t="s">
        <v>112</v>
      </c>
      <c r="L262" s="22" t="s">
        <v>58</v>
      </c>
      <c r="M262" s="8" t="s">
        <v>124</v>
      </c>
      <c r="N262" s="21" t="s">
        <v>127</v>
      </c>
    </row>
    <row r="263" spans="1:15" ht="15" x14ac:dyDescent="0.25">
      <c r="A263" t="s">
        <v>110</v>
      </c>
      <c r="B263" t="s">
        <v>108</v>
      </c>
      <c r="C263">
        <v>901.27</v>
      </c>
      <c r="D263" s="8" t="s">
        <v>135</v>
      </c>
      <c r="E263" t="s">
        <v>112</v>
      </c>
      <c r="F263" t="s">
        <v>19</v>
      </c>
      <c r="G263" t="s">
        <v>69</v>
      </c>
      <c r="H263" s="8" t="s">
        <v>107</v>
      </c>
      <c r="I263" s="5">
        <v>45083</v>
      </c>
      <c r="J263" t="s">
        <v>114</v>
      </c>
      <c r="K263" t="s">
        <v>112</v>
      </c>
      <c r="L263" s="22" t="s">
        <v>58</v>
      </c>
      <c r="M263" s="8" t="s">
        <v>124</v>
      </c>
      <c r="N263" s="21" t="s">
        <v>127</v>
      </c>
    </row>
    <row r="264" spans="1:15" ht="15" x14ac:dyDescent="0.25">
      <c r="A264" t="s">
        <v>110</v>
      </c>
      <c r="B264" t="s">
        <v>108</v>
      </c>
      <c r="C264">
        <v>901.27</v>
      </c>
      <c r="D264" s="8" t="s">
        <v>135</v>
      </c>
      <c r="E264" t="s">
        <v>113</v>
      </c>
      <c r="F264" t="s">
        <v>19</v>
      </c>
      <c r="G264" t="s">
        <v>72</v>
      </c>
      <c r="H264" s="8" t="s">
        <v>107</v>
      </c>
      <c r="I264" s="5">
        <v>45083</v>
      </c>
      <c r="J264" t="s">
        <v>114</v>
      </c>
      <c r="K264" t="s">
        <v>113</v>
      </c>
      <c r="L264" s="22" t="s">
        <v>58</v>
      </c>
      <c r="M264" s="8" t="s">
        <v>124</v>
      </c>
      <c r="N264" s="21" t="s">
        <v>127</v>
      </c>
    </row>
    <row r="265" spans="1:15" ht="15" x14ac:dyDescent="0.25">
      <c r="A265" t="s">
        <v>109</v>
      </c>
      <c r="B265" t="s">
        <v>108</v>
      </c>
      <c r="C265">
        <v>901.27</v>
      </c>
      <c r="F265" t="s">
        <v>19</v>
      </c>
      <c r="G265" t="s">
        <v>83</v>
      </c>
      <c r="H265" s="8" t="s">
        <v>107</v>
      </c>
      <c r="I265" s="5">
        <v>45083</v>
      </c>
      <c r="J265" t="s">
        <v>114</v>
      </c>
      <c r="K265" t="s">
        <v>113</v>
      </c>
      <c r="L265" s="22" t="s">
        <v>58</v>
      </c>
      <c r="M265" s="8" t="s">
        <v>124</v>
      </c>
      <c r="N265" s="21" t="s">
        <v>127</v>
      </c>
    </row>
    <row r="266" spans="1:15" ht="15" x14ac:dyDescent="0.25">
      <c r="A266" t="s">
        <v>109</v>
      </c>
      <c r="B266" t="s">
        <v>108</v>
      </c>
      <c r="C266">
        <v>901.27</v>
      </c>
      <c r="F266" t="s">
        <v>19</v>
      </c>
      <c r="G266" t="s">
        <v>84</v>
      </c>
      <c r="H266" s="8" t="s">
        <v>107</v>
      </c>
      <c r="I266" s="5">
        <v>45083</v>
      </c>
      <c r="J266" t="s">
        <v>114</v>
      </c>
      <c r="K266" t="s">
        <v>113</v>
      </c>
      <c r="L266" s="22" t="s">
        <v>58</v>
      </c>
      <c r="M266" s="8" t="s">
        <v>124</v>
      </c>
      <c r="N266" s="21" t="s">
        <v>127</v>
      </c>
    </row>
    <row r="267" spans="1:15" ht="15" x14ac:dyDescent="0.25">
      <c r="A267" t="s">
        <v>109</v>
      </c>
      <c r="B267" t="s">
        <v>108</v>
      </c>
      <c r="C267">
        <v>901.27</v>
      </c>
      <c r="F267" t="s">
        <v>19</v>
      </c>
      <c r="G267" t="s">
        <v>88</v>
      </c>
      <c r="H267" s="8" t="s">
        <v>107</v>
      </c>
      <c r="I267" s="5">
        <v>45083</v>
      </c>
      <c r="J267" t="s">
        <v>114</v>
      </c>
      <c r="K267" t="s">
        <v>113</v>
      </c>
      <c r="L267" s="22" t="s">
        <v>58</v>
      </c>
      <c r="M267" s="8" t="s">
        <v>124</v>
      </c>
      <c r="N267" s="21" t="s">
        <v>127</v>
      </c>
    </row>
    <row r="268" spans="1:15" ht="15" x14ac:dyDescent="0.25">
      <c r="A268" t="s">
        <v>109</v>
      </c>
      <c r="B268" t="s">
        <v>108</v>
      </c>
      <c r="C268">
        <v>901.27</v>
      </c>
      <c r="F268" t="s">
        <v>19</v>
      </c>
      <c r="G268" t="s">
        <v>95</v>
      </c>
      <c r="H268" s="8" t="s">
        <v>107</v>
      </c>
      <c r="I268" s="5">
        <v>45083</v>
      </c>
      <c r="J268" t="s">
        <v>23</v>
      </c>
      <c r="K268" t="s">
        <v>121</v>
      </c>
      <c r="L268" s="22">
        <v>1E-3</v>
      </c>
      <c r="M268" s="8" t="s">
        <v>124</v>
      </c>
      <c r="N268" s="21" t="s">
        <v>127</v>
      </c>
      <c r="O268" s="8" t="s">
        <v>125</v>
      </c>
    </row>
    <row r="269" spans="1:15" ht="15" x14ac:dyDescent="0.25">
      <c r="A269" t="s">
        <v>110</v>
      </c>
      <c r="B269" t="s">
        <v>108</v>
      </c>
      <c r="C269">
        <v>901.27</v>
      </c>
      <c r="D269" s="8" t="s">
        <v>135</v>
      </c>
      <c r="E269" t="s">
        <v>121</v>
      </c>
      <c r="F269" t="s">
        <v>19</v>
      </c>
      <c r="G269" t="s">
        <v>97</v>
      </c>
      <c r="H269" s="8" t="s">
        <v>107</v>
      </c>
      <c r="I269" s="5">
        <v>45083</v>
      </c>
      <c r="J269" t="s">
        <v>120</v>
      </c>
      <c r="K269" t="s">
        <v>121</v>
      </c>
      <c r="L269" s="22" t="s">
        <v>58</v>
      </c>
      <c r="M269" s="8" t="s">
        <v>124</v>
      </c>
      <c r="N269" s="21" t="s">
        <v>127</v>
      </c>
    </row>
    <row r="270" spans="1:15" ht="15" x14ac:dyDescent="0.25">
      <c r="A270" t="s">
        <v>110</v>
      </c>
      <c r="B270" t="s">
        <v>108</v>
      </c>
      <c r="C270">
        <v>901.27</v>
      </c>
      <c r="F270" t="s">
        <v>19</v>
      </c>
      <c r="G270" t="s">
        <v>101</v>
      </c>
      <c r="H270" s="8" t="s">
        <v>107</v>
      </c>
      <c r="I270" s="5">
        <v>45083</v>
      </c>
      <c r="J270" t="s">
        <v>114</v>
      </c>
      <c r="K270" t="s">
        <v>113</v>
      </c>
      <c r="L270" s="22" t="s">
        <v>58</v>
      </c>
      <c r="M270" s="8" t="s">
        <v>124</v>
      </c>
      <c r="N270" s="21" t="s">
        <v>127</v>
      </c>
    </row>
    <row r="271" spans="1:15" ht="15" x14ac:dyDescent="0.25">
      <c r="A271" t="s">
        <v>109</v>
      </c>
      <c r="B271" t="s">
        <v>108</v>
      </c>
      <c r="C271">
        <v>901.27</v>
      </c>
      <c r="D271"/>
      <c r="F271" t="s">
        <v>19</v>
      </c>
      <c r="G271" t="s">
        <v>60</v>
      </c>
      <c r="H271" s="8" t="s">
        <v>107</v>
      </c>
      <c r="I271" s="5">
        <v>45085</v>
      </c>
      <c r="J271" t="s">
        <v>58</v>
      </c>
      <c r="K271" t="s">
        <v>58</v>
      </c>
      <c r="L271" s="22" t="s">
        <v>58</v>
      </c>
      <c r="M271" s="8" t="s">
        <v>124</v>
      </c>
      <c r="N271" s="21" t="s">
        <v>127</v>
      </c>
    </row>
    <row r="272" spans="1:15" ht="15" x14ac:dyDescent="0.25">
      <c r="A272" t="s">
        <v>109</v>
      </c>
      <c r="B272" t="s">
        <v>108</v>
      </c>
      <c r="C272">
        <v>901.27</v>
      </c>
      <c r="F272" t="s">
        <v>19</v>
      </c>
      <c r="G272" t="s">
        <v>81</v>
      </c>
      <c r="H272" s="8" t="s">
        <v>107</v>
      </c>
      <c r="I272" s="5">
        <v>45085</v>
      </c>
      <c r="J272" t="s">
        <v>23</v>
      </c>
      <c r="K272" t="s">
        <v>121</v>
      </c>
      <c r="L272" s="22">
        <v>0.200769</v>
      </c>
      <c r="M272" s="8" t="s">
        <v>124</v>
      </c>
      <c r="N272" s="21" t="s">
        <v>127</v>
      </c>
      <c r="O272" s="8" t="s">
        <v>126</v>
      </c>
    </row>
    <row r="273" spans="1:15" ht="15" x14ac:dyDescent="0.25">
      <c r="A273" t="s">
        <v>109</v>
      </c>
      <c r="B273" t="s">
        <v>108</v>
      </c>
      <c r="C273">
        <v>901.27</v>
      </c>
      <c r="F273" t="s">
        <v>19</v>
      </c>
      <c r="G273" t="s">
        <v>81</v>
      </c>
      <c r="H273" s="8" t="s">
        <v>107</v>
      </c>
      <c r="I273" s="5">
        <v>45085</v>
      </c>
      <c r="J273" t="s">
        <v>23</v>
      </c>
      <c r="K273" t="s">
        <v>121</v>
      </c>
      <c r="L273" s="22">
        <v>0.200769</v>
      </c>
      <c r="M273" s="8" t="s">
        <v>124</v>
      </c>
      <c r="N273" s="21" t="s">
        <v>127</v>
      </c>
      <c r="O273" s="8" t="s">
        <v>126</v>
      </c>
    </row>
    <row r="274" spans="1:15" ht="15" x14ac:dyDescent="0.25">
      <c r="A274" t="s">
        <v>109</v>
      </c>
      <c r="B274" t="s">
        <v>108</v>
      </c>
      <c r="C274">
        <v>901.27</v>
      </c>
      <c r="F274" t="s">
        <v>19</v>
      </c>
      <c r="G274" t="s">
        <v>81</v>
      </c>
      <c r="H274" s="8" t="s">
        <v>107</v>
      </c>
      <c r="I274" s="5">
        <v>45085</v>
      </c>
      <c r="J274" t="s">
        <v>23</v>
      </c>
      <c r="K274" t="s">
        <v>121</v>
      </c>
      <c r="L274" s="22">
        <v>0.200769</v>
      </c>
      <c r="M274" s="8" t="s">
        <v>124</v>
      </c>
      <c r="N274" s="21" t="s">
        <v>127</v>
      </c>
      <c r="O274" s="8" t="s">
        <v>126</v>
      </c>
    </row>
    <row r="275" spans="1:15" ht="15" x14ac:dyDescent="0.25">
      <c r="A275" t="s">
        <v>109</v>
      </c>
      <c r="B275" t="s">
        <v>108</v>
      </c>
      <c r="C275">
        <v>901.27</v>
      </c>
      <c r="F275" t="s">
        <v>19</v>
      </c>
      <c r="G275" t="s">
        <v>82</v>
      </c>
      <c r="H275" s="8" t="s">
        <v>107</v>
      </c>
      <c r="I275" s="5">
        <v>45085</v>
      </c>
      <c r="J275" t="s">
        <v>119</v>
      </c>
      <c r="K275" t="s">
        <v>112</v>
      </c>
      <c r="L275" s="22" t="s">
        <v>58</v>
      </c>
      <c r="M275" s="8" t="s">
        <v>124</v>
      </c>
      <c r="N275" s="21" t="s">
        <v>127</v>
      </c>
    </row>
    <row r="276" spans="1:15" ht="15" x14ac:dyDescent="0.25">
      <c r="A276" t="s">
        <v>109</v>
      </c>
      <c r="B276" t="s">
        <v>108</v>
      </c>
      <c r="C276">
        <v>901.27</v>
      </c>
      <c r="F276" t="s">
        <v>19</v>
      </c>
      <c r="G276" t="s">
        <v>100</v>
      </c>
      <c r="H276" s="8" t="s">
        <v>107</v>
      </c>
      <c r="I276" s="5">
        <v>45085</v>
      </c>
      <c r="J276" t="s">
        <v>23</v>
      </c>
      <c r="K276" t="s">
        <v>121</v>
      </c>
      <c r="L276" s="22">
        <v>7.1999999999999995E-2</v>
      </c>
      <c r="M276" s="8" t="s">
        <v>124</v>
      </c>
      <c r="N276" s="21" t="s">
        <v>127</v>
      </c>
      <c r="O276" s="8" t="s">
        <v>125</v>
      </c>
    </row>
    <row r="277" spans="1:15" ht="15" x14ac:dyDescent="0.25">
      <c r="A277" t="s">
        <v>109</v>
      </c>
      <c r="B277" t="s">
        <v>108</v>
      </c>
      <c r="C277">
        <v>901.27</v>
      </c>
      <c r="F277" t="s">
        <v>19</v>
      </c>
      <c r="G277" t="s">
        <v>100</v>
      </c>
      <c r="H277" s="8" t="s">
        <v>107</v>
      </c>
      <c r="I277" s="5">
        <v>45085</v>
      </c>
      <c r="J277" t="s">
        <v>23</v>
      </c>
      <c r="K277" t="s">
        <v>121</v>
      </c>
      <c r="L277" s="22">
        <v>7.1999999999999995E-2</v>
      </c>
      <c r="M277" s="8" t="s">
        <v>124</v>
      </c>
      <c r="N277" s="21" t="s">
        <v>127</v>
      </c>
      <c r="O277" s="8" t="s">
        <v>125</v>
      </c>
    </row>
    <row r="278" spans="1:15" ht="15" x14ac:dyDescent="0.25">
      <c r="A278" t="s">
        <v>111</v>
      </c>
      <c r="B278" t="s">
        <v>108</v>
      </c>
      <c r="C278">
        <v>901.27</v>
      </c>
      <c r="F278" t="s">
        <v>19</v>
      </c>
      <c r="G278" t="s">
        <v>80</v>
      </c>
      <c r="H278" s="8" t="s">
        <v>107</v>
      </c>
      <c r="I278" s="5">
        <v>45096</v>
      </c>
      <c r="J278" t="s">
        <v>23</v>
      </c>
      <c r="K278" t="s">
        <v>58</v>
      </c>
      <c r="L278" s="22">
        <v>5.3999999999999999E-2</v>
      </c>
      <c r="M278" s="8" t="s">
        <v>124</v>
      </c>
      <c r="N278" s="21" t="s">
        <v>127</v>
      </c>
      <c r="O278" s="8" t="s">
        <v>125</v>
      </c>
    </row>
    <row r="279" spans="1:15" ht="15" x14ac:dyDescent="0.25">
      <c r="A279" t="s">
        <v>110</v>
      </c>
      <c r="B279" t="s">
        <v>108</v>
      </c>
      <c r="C279">
        <v>901.27</v>
      </c>
      <c r="D279" s="8" t="s">
        <v>135</v>
      </c>
      <c r="E279" t="s">
        <v>121</v>
      </c>
      <c r="F279" t="s">
        <v>19</v>
      </c>
      <c r="G279" t="s">
        <v>98</v>
      </c>
      <c r="H279" s="8" t="s">
        <v>107</v>
      </c>
      <c r="I279" s="5">
        <v>45098</v>
      </c>
      <c r="J279" t="s">
        <v>23</v>
      </c>
      <c r="K279" t="s">
        <v>121</v>
      </c>
      <c r="L279" s="22">
        <v>1.2E-2</v>
      </c>
      <c r="M279" s="8" t="s">
        <v>124</v>
      </c>
      <c r="N279" s="21" t="s">
        <v>127</v>
      </c>
      <c r="O279" s="8" t="s">
        <v>125</v>
      </c>
    </row>
    <row r="280" spans="1:15" ht="15" x14ac:dyDescent="0.25">
      <c r="A280" t="s">
        <v>110</v>
      </c>
      <c r="B280" t="s">
        <v>108</v>
      </c>
      <c r="C280">
        <v>901.27</v>
      </c>
      <c r="D280" s="8" t="s">
        <v>135</v>
      </c>
      <c r="E280" t="s">
        <v>121</v>
      </c>
      <c r="F280" t="s">
        <v>19</v>
      </c>
      <c r="G280" t="s">
        <v>98</v>
      </c>
      <c r="H280" s="8" t="s">
        <v>107</v>
      </c>
      <c r="I280" s="5">
        <v>45098</v>
      </c>
      <c r="J280" t="s">
        <v>23</v>
      </c>
      <c r="K280" t="s">
        <v>121</v>
      </c>
      <c r="L280" s="22">
        <v>1.2E-2</v>
      </c>
      <c r="M280" s="8" t="s">
        <v>124</v>
      </c>
      <c r="N280" s="21" t="s">
        <v>127</v>
      </c>
      <c r="O280" s="8" t="s">
        <v>125</v>
      </c>
    </row>
    <row r="281" spans="1:15" ht="15" x14ac:dyDescent="0.25">
      <c r="A281" t="s">
        <v>110</v>
      </c>
      <c r="B281" t="s">
        <v>108</v>
      </c>
      <c r="C281">
        <v>901.27</v>
      </c>
      <c r="D281" s="8" t="s">
        <v>135</v>
      </c>
      <c r="E281" t="s">
        <v>113</v>
      </c>
      <c r="F281" t="s">
        <v>19</v>
      </c>
      <c r="G281" t="s">
        <v>130</v>
      </c>
      <c r="H281" s="8" t="s">
        <v>107</v>
      </c>
      <c r="I281" s="5">
        <v>45098</v>
      </c>
      <c r="J281" t="s">
        <v>23</v>
      </c>
      <c r="K281" t="s">
        <v>113</v>
      </c>
      <c r="L281" s="22">
        <v>2E-3</v>
      </c>
      <c r="M281" s="8" t="s">
        <v>124</v>
      </c>
      <c r="N281" s="21" t="s">
        <v>127</v>
      </c>
      <c r="O281" s="8" t="s">
        <v>125</v>
      </c>
    </row>
    <row r="282" spans="1:15" ht="15" x14ac:dyDescent="0.25">
      <c r="A282" t="s">
        <v>110</v>
      </c>
      <c r="B282" t="s">
        <v>108</v>
      </c>
      <c r="C282">
        <v>901.27</v>
      </c>
      <c r="D282" s="8" t="s">
        <v>134</v>
      </c>
      <c r="E282" t="s">
        <v>58</v>
      </c>
      <c r="F282" t="s">
        <v>19</v>
      </c>
      <c r="G282" t="s">
        <v>132</v>
      </c>
      <c r="H282" s="8" t="s">
        <v>107</v>
      </c>
      <c r="I282" s="5">
        <v>45141</v>
      </c>
      <c r="J282" t="s">
        <v>114</v>
      </c>
      <c r="K282" t="s">
        <v>58</v>
      </c>
      <c r="L282" s="22" t="s">
        <v>58</v>
      </c>
      <c r="M282" s="8" t="s">
        <v>124</v>
      </c>
      <c r="N282" s="21" t="s">
        <v>127</v>
      </c>
    </row>
    <row r="283" spans="1:15" ht="15" x14ac:dyDescent="0.25">
      <c r="A283" t="s">
        <v>109</v>
      </c>
      <c r="B283" t="s">
        <v>108</v>
      </c>
      <c r="C283">
        <v>901.27</v>
      </c>
      <c r="F283" t="s">
        <v>19</v>
      </c>
      <c r="G283" t="s">
        <v>61</v>
      </c>
      <c r="H283" s="8" t="s">
        <v>107</v>
      </c>
      <c r="I283" s="5">
        <v>45145</v>
      </c>
      <c r="J283" t="s">
        <v>114</v>
      </c>
      <c r="K283" t="s">
        <v>113</v>
      </c>
      <c r="L283" s="22" t="s">
        <v>58</v>
      </c>
      <c r="M283" s="8" t="s">
        <v>124</v>
      </c>
      <c r="N283" s="21" t="s">
        <v>127</v>
      </c>
    </row>
    <row r="284" spans="1:15" ht="15" x14ac:dyDescent="0.25">
      <c r="A284" t="s">
        <v>109</v>
      </c>
      <c r="B284" t="s">
        <v>108</v>
      </c>
      <c r="C284">
        <v>901.27</v>
      </c>
      <c r="F284" t="s">
        <v>19</v>
      </c>
      <c r="G284" t="s">
        <v>67</v>
      </c>
      <c r="H284" s="8" t="s">
        <v>107</v>
      </c>
      <c r="I284" s="5">
        <v>45145</v>
      </c>
      <c r="J284" t="s">
        <v>119</v>
      </c>
      <c r="K284" t="s">
        <v>58</v>
      </c>
      <c r="L284" s="22" t="s">
        <v>58</v>
      </c>
      <c r="M284" s="8" t="s">
        <v>124</v>
      </c>
      <c r="N284" s="21" t="s">
        <v>127</v>
      </c>
    </row>
    <row r="285" spans="1:15" ht="15" x14ac:dyDescent="0.25">
      <c r="A285" t="s">
        <v>109</v>
      </c>
      <c r="B285" t="s">
        <v>108</v>
      </c>
      <c r="C285">
        <v>901.27</v>
      </c>
      <c r="F285" t="s">
        <v>19</v>
      </c>
      <c r="G285" t="s">
        <v>74</v>
      </c>
      <c r="H285" s="8" t="s">
        <v>107</v>
      </c>
      <c r="I285" s="5">
        <v>45145</v>
      </c>
      <c r="J285" t="s">
        <v>120</v>
      </c>
      <c r="K285" t="s">
        <v>58</v>
      </c>
      <c r="L285" s="22" t="s">
        <v>58</v>
      </c>
      <c r="M285" s="8" t="s">
        <v>124</v>
      </c>
      <c r="N285" s="21" t="s">
        <v>127</v>
      </c>
    </row>
    <row r="286" spans="1:15" ht="15" x14ac:dyDescent="0.25">
      <c r="A286" t="s">
        <v>109</v>
      </c>
      <c r="B286" t="s">
        <v>108</v>
      </c>
      <c r="C286">
        <v>901.27</v>
      </c>
      <c r="F286" t="s">
        <v>19</v>
      </c>
      <c r="G286" t="s">
        <v>78</v>
      </c>
      <c r="H286" s="8" t="s">
        <v>107</v>
      </c>
      <c r="I286" s="5">
        <v>45145</v>
      </c>
      <c r="J286" t="s">
        <v>119</v>
      </c>
      <c r="K286" t="s">
        <v>58</v>
      </c>
      <c r="L286" s="22" t="s">
        <v>58</v>
      </c>
      <c r="M286" s="8" t="s">
        <v>124</v>
      </c>
      <c r="N286" s="21" t="s">
        <v>127</v>
      </c>
    </row>
    <row r="287" spans="1:15" ht="15" x14ac:dyDescent="0.25">
      <c r="A287" t="s">
        <v>109</v>
      </c>
      <c r="B287" t="s">
        <v>108</v>
      </c>
      <c r="C287">
        <v>901.27</v>
      </c>
      <c r="F287" t="s">
        <v>19</v>
      </c>
      <c r="G287" t="s">
        <v>90</v>
      </c>
      <c r="H287" s="8" t="s">
        <v>107</v>
      </c>
      <c r="I287" s="5">
        <v>45145</v>
      </c>
      <c r="J287" t="s">
        <v>119</v>
      </c>
      <c r="K287" t="s">
        <v>113</v>
      </c>
      <c r="L287" s="22" t="s">
        <v>58</v>
      </c>
      <c r="M287" s="8" t="s">
        <v>124</v>
      </c>
      <c r="N287" s="21" t="s">
        <v>127</v>
      </c>
    </row>
    <row r="288" spans="1:15" ht="15" x14ac:dyDescent="0.25">
      <c r="A288" t="s">
        <v>109</v>
      </c>
      <c r="B288" t="s">
        <v>108</v>
      </c>
      <c r="C288">
        <v>901.27</v>
      </c>
      <c r="F288" t="s">
        <v>19</v>
      </c>
      <c r="G288" t="s">
        <v>91</v>
      </c>
      <c r="H288" s="8" t="s">
        <v>107</v>
      </c>
      <c r="I288" s="5">
        <v>45145</v>
      </c>
      <c r="J288" t="s">
        <v>23</v>
      </c>
      <c r="K288" t="s">
        <v>121</v>
      </c>
      <c r="L288" s="22">
        <v>0.203704</v>
      </c>
      <c r="M288" s="8" t="s">
        <v>124</v>
      </c>
      <c r="N288" s="21" t="s">
        <v>127</v>
      </c>
      <c r="O288" s="8" t="s">
        <v>126</v>
      </c>
    </row>
    <row r="289" spans="1:15" ht="15" x14ac:dyDescent="0.25">
      <c r="A289" t="s">
        <v>109</v>
      </c>
      <c r="B289" t="s">
        <v>108</v>
      </c>
      <c r="C289">
        <v>901.27</v>
      </c>
      <c r="F289" t="s">
        <v>19</v>
      </c>
      <c r="G289" t="s">
        <v>94</v>
      </c>
      <c r="H289" s="8" t="s">
        <v>107</v>
      </c>
      <c r="I289" s="5">
        <v>45145</v>
      </c>
      <c r="J289" t="s">
        <v>120</v>
      </c>
      <c r="K289" t="s">
        <v>113</v>
      </c>
      <c r="L289" s="22" t="s">
        <v>58</v>
      </c>
      <c r="M289" s="8" t="s">
        <v>124</v>
      </c>
      <c r="N289" s="21" t="s">
        <v>127</v>
      </c>
    </row>
    <row r="290" spans="1:15" ht="15" x14ac:dyDescent="0.25">
      <c r="A290" t="s">
        <v>109</v>
      </c>
      <c r="B290" t="s">
        <v>108</v>
      </c>
      <c r="C290">
        <v>901.27</v>
      </c>
      <c r="F290" t="s">
        <v>19</v>
      </c>
      <c r="G290" t="s">
        <v>96</v>
      </c>
      <c r="H290" s="8" t="s">
        <v>107</v>
      </c>
      <c r="I290" s="5">
        <v>45145</v>
      </c>
      <c r="J290" t="s">
        <v>114</v>
      </c>
      <c r="K290" t="s">
        <v>58</v>
      </c>
      <c r="L290" s="22" t="s">
        <v>58</v>
      </c>
      <c r="M290" s="8" t="s">
        <v>124</v>
      </c>
      <c r="N290" s="21" t="s">
        <v>127</v>
      </c>
    </row>
    <row r="291" spans="1:15" ht="15" x14ac:dyDescent="0.25">
      <c r="A291" t="s">
        <v>109</v>
      </c>
      <c r="B291" t="s">
        <v>108</v>
      </c>
      <c r="C291">
        <v>901.27</v>
      </c>
      <c r="F291" t="s">
        <v>19</v>
      </c>
      <c r="G291" t="s">
        <v>99</v>
      </c>
      <c r="H291" s="8" t="s">
        <v>107</v>
      </c>
      <c r="I291" s="5">
        <v>45145</v>
      </c>
      <c r="J291" t="s">
        <v>23</v>
      </c>
      <c r="K291" t="s">
        <v>113</v>
      </c>
      <c r="L291" s="22" t="s">
        <v>58</v>
      </c>
      <c r="M291" s="8" t="s">
        <v>124</v>
      </c>
      <c r="N291" s="21" t="s">
        <v>127</v>
      </c>
    </row>
    <row r="292" spans="1:15" ht="15" x14ac:dyDescent="0.25">
      <c r="A292" t="s">
        <v>110</v>
      </c>
      <c r="B292" t="s">
        <v>108</v>
      </c>
      <c r="C292">
        <v>901.27</v>
      </c>
      <c r="D292" s="8" t="s">
        <v>135</v>
      </c>
      <c r="E292" t="s">
        <v>113</v>
      </c>
      <c r="F292" t="s">
        <v>19</v>
      </c>
      <c r="G292" t="s">
        <v>69</v>
      </c>
      <c r="H292" s="8" t="s">
        <v>107</v>
      </c>
      <c r="I292" s="5">
        <v>45146</v>
      </c>
      <c r="J292" t="s">
        <v>114</v>
      </c>
      <c r="K292" t="s">
        <v>113</v>
      </c>
      <c r="L292" s="22" t="s">
        <v>58</v>
      </c>
      <c r="M292" s="8" t="s">
        <v>124</v>
      </c>
      <c r="N292" s="21" t="s">
        <v>127</v>
      </c>
    </row>
    <row r="293" spans="1:15" ht="15" x14ac:dyDescent="0.25">
      <c r="A293" t="s">
        <v>110</v>
      </c>
      <c r="B293" t="s">
        <v>108</v>
      </c>
      <c r="C293">
        <v>901.27</v>
      </c>
      <c r="D293" s="8" t="s">
        <v>135</v>
      </c>
      <c r="E293" t="s">
        <v>113</v>
      </c>
      <c r="F293" t="s">
        <v>19</v>
      </c>
      <c r="G293" t="s">
        <v>69</v>
      </c>
      <c r="H293" s="8" t="s">
        <v>107</v>
      </c>
      <c r="I293" s="5">
        <v>45146</v>
      </c>
      <c r="J293" t="s">
        <v>114</v>
      </c>
      <c r="K293" t="s">
        <v>113</v>
      </c>
      <c r="L293" s="22" t="s">
        <v>58</v>
      </c>
      <c r="M293" s="8" t="s">
        <v>124</v>
      </c>
      <c r="N293" s="21" t="s">
        <v>127</v>
      </c>
    </row>
    <row r="294" spans="1:15" ht="15" x14ac:dyDescent="0.25">
      <c r="A294" t="s">
        <v>110</v>
      </c>
      <c r="B294" t="s">
        <v>108</v>
      </c>
      <c r="C294">
        <v>901.27</v>
      </c>
      <c r="D294" s="8" t="s">
        <v>135</v>
      </c>
      <c r="E294" t="s">
        <v>113</v>
      </c>
      <c r="F294" t="s">
        <v>19</v>
      </c>
      <c r="G294" t="s">
        <v>72</v>
      </c>
      <c r="H294" s="8" t="s">
        <v>107</v>
      </c>
      <c r="I294" s="5">
        <v>45146</v>
      </c>
      <c r="J294" t="s">
        <v>114</v>
      </c>
      <c r="K294" t="s">
        <v>113</v>
      </c>
      <c r="L294" s="22" t="s">
        <v>58</v>
      </c>
      <c r="M294" s="8" t="s">
        <v>124</v>
      </c>
      <c r="N294" s="21" t="s">
        <v>127</v>
      </c>
    </row>
    <row r="295" spans="1:15" ht="15" x14ac:dyDescent="0.25">
      <c r="A295" t="s">
        <v>109</v>
      </c>
      <c r="B295" t="s">
        <v>108</v>
      </c>
      <c r="C295">
        <v>901.27</v>
      </c>
      <c r="F295" t="s">
        <v>19</v>
      </c>
      <c r="G295" t="s">
        <v>83</v>
      </c>
      <c r="H295" s="8" t="s">
        <v>107</v>
      </c>
      <c r="I295" s="5">
        <v>45146</v>
      </c>
      <c r="J295" t="s">
        <v>114</v>
      </c>
      <c r="K295" t="s">
        <v>113</v>
      </c>
      <c r="L295" s="22" t="s">
        <v>58</v>
      </c>
      <c r="M295" s="8" t="s">
        <v>124</v>
      </c>
      <c r="N295" s="21" t="s">
        <v>127</v>
      </c>
    </row>
    <row r="296" spans="1:15" ht="15" x14ac:dyDescent="0.25">
      <c r="A296" t="s">
        <v>109</v>
      </c>
      <c r="B296" t="s">
        <v>108</v>
      </c>
      <c r="C296">
        <v>901.27</v>
      </c>
      <c r="F296" t="s">
        <v>19</v>
      </c>
      <c r="G296" t="s">
        <v>84</v>
      </c>
      <c r="H296" s="8" t="s">
        <v>107</v>
      </c>
      <c r="I296" s="5">
        <v>45146</v>
      </c>
      <c r="J296" t="s">
        <v>23</v>
      </c>
      <c r="K296" t="s">
        <v>113</v>
      </c>
      <c r="L296" s="22" t="s">
        <v>58</v>
      </c>
      <c r="M296" s="8" t="s">
        <v>124</v>
      </c>
      <c r="N296" s="21" t="s">
        <v>127</v>
      </c>
    </row>
    <row r="297" spans="1:15" ht="15" x14ac:dyDescent="0.25">
      <c r="A297" t="s">
        <v>109</v>
      </c>
      <c r="B297" t="s">
        <v>108</v>
      </c>
      <c r="C297">
        <v>901.27</v>
      </c>
      <c r="F297" t="s">
        <v>19</v>
      </c>
      <c r="G297" t="s">
        <v>88</v>
      </c>
      <c r="H297" s="8" t="s">
        <v>107</v>
      </c>
      <c r="I297" s="5">
        <v>45146</v>
      </c>
      <c r="J297" t="s">
        <v>114</v>
      </c>
      <c r="K297" t="s">
        <v>113</v>
      </c>
      <c r="L297" s="22" t="s">
        <v>58</v>
      </c>
      <c r="M297" s="8" t="s">
        <v>124</v>
      </c>
      <c r="N297" s="21" t="s">
        <v>127</v>
      </c>
    </row>
    <row r="298" spans="1:15" ht="15" x14ac:dyDescent="0.25">
      <c r="A298" t="s">
        <v>109</v>
      </c>
      <c r="B298" t="s">
        <v>108</v>
      </c>
      <c r="C298">
        <v>901.27</v>
      </c>
      <c r="F298" t="s">
        <v>19</v>
      </c>
      <c r="G298" t="s">
        <v>95</v>
      </c>
      <c r="H298" s="8" t="s">
        <v>107</v>
      </c>
      <c r="I298" s="5">
        <v>45146</v>
      </c>
      <c r="J298" t="s">
        <v>23</v>
      </c>
      <c r="K298" t="s">
        <v>121</v>
      </c>
      <c r="L298" s="22" t="s">
        <v>58</v>
      </c>
      <c r="M298" s="8" t="s">
        <v>124</v>
      </c>
      <c r="N298" s="21" t="s">
        <v>127</v>
      </c>
    </row>
    <row r="299" spans="1:15" ht="15" x14ac:dyDescent="0.25">
      <c r="A299" t="s">
        <v>110</v>
      </c>
      <c r="B299" t="s">
        <v>108</v>
      </c>
      <c r="C299">
        <v>901.27</v>
      </c>
      <c r="D299" s="8" t="s">
        <v>135</v>
      </c>
      <c r="E299" t="s">
        <v>122</v>
      </c>
      <c r="F299" t="s">
        <v>19</v>
      </c>
      <c r="G299" t="s">
        <v>97</v>
      </c>
      <c r="H299" s="8" t="s">
        <v>107</v>
      </c>
      <c r="I299" s="5">
        <v>45146</v>
      </c>
      <c r="J299" t="s">
        <v>23</v>
      </c>
      <c r="K299" t="s">
        <v>122</v>
      </c>
      <c r="L299" s="22" t="s">
        <v>58</v>
      </c>
      <c r="M299" s="8" t="s">
        <v>124</v>
      </c>
      <c r="N299" s="21" t="s">
        <v>127</v>
      </c>
    </row>
    <row r="300" spans="1:15" ht="15" x14ac:dyDescent="0.25">
      <c r="A300" t="s">
        <v>110</v>
      </c>
      <c r="B300" t="s">
        <v>108</v>
      </c>
      <c r="C300">
        <v>901.27</v>
      </c>
      <c r="F300" t="s">
        <v>19</v>
      </c>
      <c r="G300" t="s">
        <v>101</v>
      </c>
      <c r="H300" s="8" t="s">
        <v>107</v>
      </c>
      <c r="I300" s="5">
        <v>45146</v>
      </c>
      <c r="J300" t="s">
        <v>114</v>
      </c>
      <c r="K300" t="s">
        <v>113</v>
      </c>
      <c r="L300" s="22" t="s">
        <v>58</v>
      </c>
      <c r="M300" s="8" t="s">
        <v>124</v>
      </c>
      <c r="N300" s="21" t="s">
        <v>127</v>
      </c>
    </row>
    <row r="301" spans="1:15" ht="15" x14ac:dyDescent="0.25">
      <c r="A301" t="s">
        <v>109</v>
      </c>
      <c r="B301" t="s">
        <v>108</v>
      </c>
      <c r="C301">
        <v>901.27</v>
      </c>
      <c r="F301" t="s">
        <v>19</v>
      </c>
      <c r="G301" t="s">
        <v>63</v>
      </c>
      <c r="H301" s="8" t="s">
        <v>107</v>
      </c>
      <c r="I301" s="5">
        <v>45147</v>
      </c>
      <c r="J301" t="s">
        <v>120</v>
      </c>
      <c r="K301" t="s">
        <v>113</v>
      </c>
      <c r="L301" s="22" t="s">
        <v>58</v>
      </c>
      <c r="M301" s="8" t="s">
        <v>124</v>
      </c>
      <c r="N301" s="21" t="s">
        <v>127</v>
      </c>
    </row>
    <row r="302" spans="1:15" ht="15" x14ac:dyDescent="0.25">
      <c r="A302" t="s">
        <v>109</v>
      </c>
      <c r="B302" t="s">
        <v>108</v>
      </c>
      <c r="C302">
        <v>901.27</v>
      </c>
      <c r="F302" t="s">
        <v>19</v>
      </c>
      <c r="G302" t="s">
        <v>65</v>
      </c>
      <c r="H302" s="8" t="s">
        <v>107</v>
      </c>
      <c r="I302" s="5">
        <v>45147</v>
      </c>
      <c r="J302" t="s">
        <v>114</v>
      </c>
      <c r="K302" t="s">
        <v>113</v>
      </c>
      <c r="L302" s="22" t="s">
        <v>58</v>
      </c>
      <c r="M302" s="8" t="s">
        <v>124</v>
      </c>
      <c r="N302" s="21" t="s">
        <v>127</v>
      </c>
    </row>
    <row r="303" spans="1:15" ht="15" x14ac:dyDescent="0.25">
      <c r="A303" t="s">
        <v>109</v>
      </c>
      <c r="B303" t="s">
        <v>108</v>
      </c>
      <c r="C303">
        <v>901.27</v>
      </c>
      <c r="F303" t="s">
        <v>19</v>
      </c>
      <c r="G303" t="s">
        <v>66</v>
      </c>
      <c r="H303" s="8" t="s">
        <v>107</v>
      </c>
      <c r="I303" s="5">
        <v>45147</v>
      </c>
      <c r="J303" t="s">
        <v>119</v>
      </c>
      <c r="K303" t="s">
        <v>121</v>
      </c>
      <c r="L303" s="22" t="s">
        <v>58</v>
      </c>
      <c r="M303" s="8" t="s">
        <v>124</v>
      </c>
      <c r="N303" s="21" t="s">
        <v>127</v>
      </c>
    </row>
    <row r="304" spans="1:15" ht="15" x14ac:dyDescent="0.25">
      <c r="A304" t="s">
        <v>109</v>
      </c>
      <c r="B304" t="s">
        <v>108</v>
      </c>
      <c r="C304">
        <v>901.27</v>
      </c>
      <c r="F304" t="s">
        <v>19</v>
      </c>
      <c r="G304" t="s">
        <v>68</v>
      </c>
      <c r="H304" s="8" t="s">
        <v>107</v>
      </c>
      <c r="I304" s="5">
        <v>45147</v>
      </c>
      <c r="J304" t="s">
        <v>23</v>
      </c>
      <c r="K304" t="s">
        <v>121</v>
      </c>
      <c r="L304" s="22">
        <v>0.56842099999999995</v>
      </c>
      <c r="M304" s="8" t="s">
        <v>124</v>
      </c>
      <c r="N304" s="21" t="s">
        <v>127</v>
      </c>
      <c r="O304" s="8" t="s">
        <v>126</v>
      </c>
    </row>
    <row r="305" spans="1:15" ht="15" x14ac:dyDescent="0.25">
      <c r="A305" t="s">
        <v>109</v>
      </c>
      <c r="B305" t="s">
        <v>108</v>
      </c>
      <c r="C305">
        <v>901.27</v>
      </c>
      <c r="F305" t="s">
        <v>19</v>
      </c>
      <c r="G305" t="s">
        <v>70</v>
      </c>
      <c r="H305" s="8" t="s">
        <v>107</v>
      </c>
      <c r="I305" s="5">
        <v>45147</v>
      </c>
      <c r="J305" t="s">
        <v>114</v>
      </c>
      <c r="K305" t="s">
        <v>113</v>
      </c>
      <c r="L305" s="22" t="s">
        <v>58</v>
      </c>
      <c r="M305" s="8" t="s">
        <v>124</v>
      </c>
      <c r="N305" s="21" t="s">
        <v>127</v>
      </c>
    </row>
    <row r="306" spans="1:15" ht="15" x14ac:dyDescent="0.25">
      <c r="A306" t="s">
        <v>109</v>
      </c>
      <c r="B306" t="s">
        <v>108</v>
      </c>
      <c r="C306">
        <v>901.27</v>
      </c>
      <c r="F306" t="s">
        <v>19</v>
      </c>
      <c r="G306" t="s">
        <v>70</v>
      </c>
      <c r="H306" s="8" t="s">
        <v>107</v>
      </c>
      <c r="I306" s="5">
        <v>45147</v>
      </c>
      <c r="J306" t="s">
        <v>114</v>
      </c>
      <c r="K306" t="s">
        <v>113</v>
      </c>
      <c r="L306" s="22" t="s">
        <v>58</v>
      </c>
      <c r="M306" s="8" t="s">
        <v>124</v>
      </c>
      <c r="N306" s="21" t="s">
        <v>127</v>
      </c>
    </row>
    <row r="307" spans="1:15" ht="15" x14ac:dyDescent="0.25">
      <c r="A307" t="s">
        <v>109</v>
      </c>
      <c r="B307" t="s">
        <v>108</v>
      </c>
      <c r="C307">
        <v>901.27</v>
      </c>
      <c r="F307" t="s">
        <v>19</v>
      </c>
      <c r="G307" t="s">
        <v>73</v>
      </c>
      <c r="H307" s="8" t="s">
        <v>107</v>
      </c>
      <c r="I307" s="5">
        <v>45147</v>
      </c>
      <c r="J307" t="s">
        <v>119</v>
      </c>
      <c r="K307" t="s">
        <v>121</v>
      </c>
      <c r="L307" s="22" t="s">
        <v>58</v>
      </c>
      <c r="M307" s="8" t="s">
        <v>124</v>
      </c>
      <c r="N307" s="21" t="s">
        <v>127</v>
      </c>
    </row>
    <row r="308" spans="1:15" ht="15" x14ac:dyDescent="0.25">
      <c r="A308" t="s">
        <v>109</v>
      </c>
      <c r="B308" t="s">
        <v>108</v>
      </c>
      <c r="C308">
        <v>901.27</v>
      </c>
      <c r="F308" t="s">
        <v>19</v>
      </c>
      <c r="G308" t="s">
        <v>75</v>
      </c>
      <c r="H308" s="8" t="s">
        <v>107</v>
      </c>
      <c r="I308" s="5">
        <v>45147</v>
      </c>
      <c r="J308" t="s">
        <v>114</v>
      </c>
      <c r="K308" t="s">
        <v>113</v>
      </c>
      <c r="L308" s="22" t="s">
        <v>58</v>
      </c>
      <c r="M308" s="8" t="s">
        <v>124</v>
      </c>
      <c r="N308" s="21" t="s">
        <v>127</v>
      </c>
    </row>
    <row r="309" spans="1:15" ht="15" x14ac:dyDescent="0.25">
      <c r="A309" t="s">
        <v>109</v>
      </c>
      <c r="B309" t="s">
        <v>108</v>
      </c>
      <c r="C309">
        <v>901.27</v>
      </c>
      <c r="F309" t="s">
        <v>19</v>
      </c>
      <c r="G309" t="s">
        <v>89</v>
      </c>
      <c r="H309" s="8" t="s">
        <v>107</v>
      </c>
      <c r="I309" s="5">
        <v>45147</v>
      </c>
      <c r="J309" t="s">
        <v>119</v>
      </c>
      <c r="K309" t="s">
        <v>113</v>
      </c>
      <c r="L309" s="22" t="s">
        <v>58</v>
      </c>
      <c r="M309" s="8" t="s">
        <v>124</v>
      </c>
      <c r="N309" s="21" t="s">
        <v>127</v>
      </c>
    </row>
    <row r="310" spans="1:15" ht="15" x14ac:dyDescent="0.25">
      <c r="A310" t="s">
        <v>109</v>
      </c>
      <c r="B310" t="s">
        <v>108</v>
      </c>
      <c r="C310">
        <v>901.27</v>
      </c>
      <c r="F310" t="s">
        <v>19</v>
      </c>
      <c r="G310" t="s">
        <v>92</v>
      </c>
      <c r="H310" s="8" t="s">
        <v>107</v>
      </c>
      <c r="I310" s="5">
        <v>45147</v>
      </c>
      <c r="J310" t="s">
        <v>119</v>
      </c>
      <c r="K310" t="s">
        <v>58</v>
      </c>
      <c r="L310" s="22" t="s">
        <v>58</v>
      </c>
      <c r="M310" s="8" t="s">
        <v>124</v>
      </c>
      <c r="N310" s="21" t="s">
        <v>127</v>
      </c>
    </row>
    <row r="311" spans="1:15" ht="15" x14ac:dyDescent="0.25">
      <c r="A311" t="s">
        <v>109</v>
      </c>
      <c r="B311" t="s">
        <v>108</v>
      </c>
      <c r="C311">
        <v>901.27</v>
      </c>
      <c r="F311" t="s">
        <v>19</v>
      </c>
      <c r="G311" t="s">
        <v>93</v>
      </c>
      <c r="H311" s="8" t="s">
        <v>107</v>
      </c>
      <c r="I311" s="5">
        <v>45147</v>
      </c>
      <c r="J311" t="s">
        <v>23</v>
      </c>
      <c r="K311" t="s">
        <v>121</v>
      </c>
      <c r="L311" s="22">
        <v>0.118571</v>
      </c>
      <c r="M311" s="8" t="s">
        <v>124</v>
      </c>
      <c r="N311" s="21" t="s">
        <v>127</v>
      </c>
      <c r="O311" s="8" t="s">
        <v>126</v>
      </c>
    </row>
    <row r="312" spans="1:15" ht="15" x14ac:dyDescent="0.25">
      <c r="A312" t="s">
        <v>109</v>
      </c>
      <c r="B312" t="s">
        <v>108</v>
      </c>
      <c r="C312">
        <v>901.27</v>
      </c>
      <c r="F312" t="s">
        <v>19</v>
      </c>
      <c r="G312" t="s">
        <v>104</v>
      </c>
      <c r="H312" s="8" t="s">
        <v>107</v>
      </c>
      <c r="I312" s="5">
        <v>45147</v>
      </c>
      <c r="J312" t="s">
        <v>23</v>
      </c>
      <c r="K312" t="s">
        <v>121</v>
      </c>
      <c r="L312" s="22">
        <v>6.25E-2</v>
      </c>
      <c r="M312" s="8" t="s">
        <v>124</v>
      </c>
      <c r="N312" s="21" t="s">
        <v>127</v>
      </c>
      <c r="O312" s="8" t="s">
        <v>126</v>
      </c>
    </row>
    <row r="313" spans="1:15" ht="15" x14ac:dyDescent="0.25">
      <c r="A313" t="s">
        <v>109</v>
      </c>
      <c r="B313" t="s">
        <v>108</v>
      </c>
      <c r="C313">
        <v>901.27</v>
      </c>
      <c r="F313" t="s">
        <v>19</v>
      </c>
      <c r="G313" t="s">
        <v>104</v>
      </c>
      <c r="H313" s="8" t="s">
        <v>107</v>
      </c>
      <c r="I313" s="5">
        <v>45147</v>
      </c>
      <c r="J313" t="s">
        <v>23</v>
      </c>
      <c r="K313" t="s">
        <v>121</v>
      </c>
      <c r="L313" s="22">
        <v>6.25E-2</v>
      </c>
      <c r="M313" s="8" t="s">
        <v>124</v>
      </c>
      <c r="N313" s="21" t="s">
        <v>127</v>
      </c>
      <c r="O313" s="8" t="s">
        <v>126</v>
      </c>
    </row>
    <row r="314" spans="1:15" ht="15" x14ac:dyDescent="0.25">
      <c r="A314" t="s">
        <v>109</v>
      </c>
      <c r="B314" t="s">
        <v>108</v>
      </c>
      <c r="C314">
        <v>901.27</v>
      </c>
      <c r="F314" t="s">
        <v>19</v>
      </c>
      <c r="G314" t="s">
        <v>106</v>
      </c>
      <c r="H314" s="8" t="s">
        <v>107</v>
      </c>
      <c r="I314" s="5">
        <v>45147</v>
      </c>
      <c r="J314" t="s">
        <v>114</v>
      </c>
      <c r="K314" t="s">
        <v>113</v>
      </c>
      <c r="L314" s="22" t="s">
        <v>58</v>
      </c>
      <c r="M314" s="8" t="s">
        <v>124</v>
      </c>
      <c r="N314" s="21" t="s">
        <v>127</v>
      </c>
    </row>
    <row r="315" spans="1:15" ht="15" x14ac:dyDescent="0.25">
      <c r="A315" t="s">
        <v>111</v>
      </c>
      <c r="B315" t="s">
        <v>108</v>
      </c>
      <c r="C315">
        <v>901.27</v>
      </c>
      <c r="F315" t="s">
        <v>19</v>
      </c>
      <c r="G315" t="s">
        <v>64</v>
      </c>
      <c r="H315" s="8" t="s">
        <v>107</v>
      </c>
      <c r="I315" s="5">
        <v>45152</v>
      </c>
      <c r="J315" t="s">
        <v>120</v>
      </c>
      <c r="K315" t="s">
        <v>58</v>
      </c>
      <c r="L315" s="22" t="s">
        <v>58</v>
      </c>
      <c r="M315" s="8" t="s">
        <v>124</v>
      </c>
      <c r="N315" s="21" t="s">
        <v>127</v>
      </c>
    </row>
    <row r="316" spans="1:15" ht="15" x14ac:dyDescent="0.25">
      <c r="A316" t="s">
        <v>111</v>
      </c>
      <c r="B316" t="s">
        <v>108</v>
      </c>
      <c r="C316">
        <v>901.27</v>
      </c>
      <c r="F316" t="s">
        <v>19</v>
      </c>
      <c r="G316" t="s">
        <v>79</v>
      </c>
      <c r="H316" s="8" t="s">
        <v>107</v>
      </c>
      <c r="I316" s="5">
        <v>45152</v>
      </c>
      <c r="J316" t="s">
        <v>114</v>
      </c>
      <c r="K316" t="s">
        <v>58</v>
      </c>
      <c r="L316" s="22" t="s">
        <v>58</v>
      </c>
      <c r="M316" s="8" t="s">
        <v>124</v>
      </c>
      <c r="N316" s="21" t="s">
        <v>127</v>
      </c>
    </row>
    <row r="317" spans="1:15" ht="15" x14ac:dyDescent="0.25">
      <c r="A317" t="s">
        <v>111</v>
      </c>
      <c r="B317" t="s">
        <v>108</v>
      </c>
      <c r="C317">
        <v>901.27</v>
      </c>
      <c r="F317" t="s">
        <v>19</v>
      </c>
      <c r="G317" t="s">
        <v>80</v>
      </c>
      <c r="H317" s="8" t="s">
        <v>107</v>
      </c>
      <c r="I317" s="5">
        <v>45152</v>
      </c>
      <c r="J317" t="s">
        <v>23</v>
      </c>
      <c r="K317" t="s">
        <v>121</v>
      </c>
      <c r="L317" s="22" t="s">
        <v>58</v>
      </c>
      <c r="M317" s="8" t="s">
        <v>124</v>
      </c>
      <c r="N317" s="21" t="s">
        <v>127</v>
      </c>
    </row>
    <row r="318" spans="1:15" ht="15" x14ac:dyDescent="0.25">
      <c r="A318" t="s">
        <v>111</v>
      </c>
      <c r="B318" t="s">
        <v>108</v>
      </c>
      <c r="C318">
        <v>901.27</v>
      </c>
      <c r="F318" t="s">
        <v>19</v>
      </c>
      <c r="G318" t="s">
        <v>85</v>
      </c>
      <c r="H318" s="8" t="s">
        <v>107</v>
      </c>
      <c r="I318" s="5">
        <v>45152</v>
      </c>
      <c r="J318" t="s">
        <v>119</v>
      </c>
      <c r="K318" t="s">
        <v>113</v>
      </c>
      <c r="L318" s="22" t="s">
        <v>58</v>
      </c>
      <c r="M318" s="8" t="s">
        <v>124</v>
      </c>
      <c r="N318" s="21" t="s">
        <v>127</v>
      </c>
    </row>
    <row r="319" spans="1:15" ht="15" x14ac:dyDescent="0.25">
      <c r="A319" t="s">
        <v>111</v>
      </c>
      <c r="B319" t="s">
        <v>108</v>
      </c>
      <c r="C319">
        <v>901.27</v>
      </c>
      <c r="F319" t="s">
        <v>19</v>
      </c>
      <c r="G319" t="s">
        <v>87</v>
      </c>
      <c r="H319" s="8" t="s">
        <v>107</v>
      </c>
      <c r="I319" s="5">
        <v>45152</v>
      </c>
      <c r="J319" t="s">
        <v>58</v>
      </c>
      <c r="K319" t="s">
        <v>58</v>
      </c>
      <c r="L319" s="22" t="s">
        <v>58</v>
      </c>
      <c r="M319" s="8" t="s">
        <v>124</v>
      </c>
      <c r="N319" s="21" t="s">
        <v>127</v>
      </c>
    </row>
    <row r="320" spans="1:15" ht="15" x14ac:dyDescent="0.25">
      <c r="A320" t="s">
        <v>111</v>
      </c>
      <c r="B320" t="s">
        <v>108</v>
      </c>
      <c r="C320">
        <v>901.27</v>
      </c>
      <c r="F320" t="s">
        <v>19</v>
      </c>
      <c r="G320" t="s">
        <v>87</v>
      </c>
      <c r="H320" s="8" t="s">
        <v>107</v>
      </c>
      <c r="I320" s="5">
        <v>45152</v>
      </c>
      <c r="J320" t="s">
        <v>58</v>
      </c>
      <c r="K320" t="s">
        <v>58</v>
      </c>
      <c r="L320" s="22" t="s">
        <v>58</v>
      </c>
      <c r="M320" s="8" t="s">
        <v>124</v>
      </c>
      <c r="N320" s="21" t="s">
        <v>127</v>
      </c>
    </row>
    <row r="321" spans="1:15" ht="15" x14ac:dyDescent="0.25">
      <c r="A321" t="s">
        <v>111</v>
      </c>
      <c r="B321" t="s">
        <v>108</v>
      </c>
      <c r="C321">
        <v>901.27</v>
      </c>
      <c r="F321" t="s">
        <v>19</v>
      </c>
      <c r="G321" t="s">
        <v>102</v>
      </c>
      <c r="H321" s="8" t="s">
        <v>107</v>
      </c>
      <c r="I321" s="5">
        <v>45152</v>
      </c>
      <c r="J321" t="s">
        <v>23</v>
      </c>
      <c r="K321" t="s">
        <v>122</v>
      </c>
      <c r="L321" s="22">
        <v>5.1173000000000003E-2</v>
      </c>
      <c r="M321" s="8" t="s">
        <v>124</v>
      </c>
      <c r="N321" s="21" t="s">
        <v>127</v>
      </c>
      <c r="O321" s="8" t="s">
        <v>126</v>
      </c>
    </row>
    <row r="322" spans="1:15" ht="15" x14ac:dyDescent="0.25">
      <c r="A322" t="s">
        <v>111</v>
      </c>
      <c r="B322" t="s">
        <v>108</v>
      </c>
      <c r="C322">
        <v>901.27</v>
      </c>
      <c r="F322" t="s">
        <v>19</v>
      </c>
      <c r="G322" t="s">
        <v>103</v>
      </c>
      <c r="H322" s="8" t="s">
        <v>107</v>
      </c>
      <c r="I322" s="5">
        <v>45152</v>
      </c>
      <c r="J322" t="s">
        <v>114</v>
      </c>
      <c r="K322" t="s">
        <v>113</v>
      </c>
      <c r="L322" s="22" t="s">
        <v>58</v>
      </c>
      <c r="M322" s="8" t="s">
        <v>124</v>
      </c>
      <c r="N322" s="21" t="s">
        <v>127</v>
      </c>
    </row>
    <row r="323" spans="1:15" ht="15" x14ac:dyDescent="0.25">
      <c r="A323" t="s">
        <v>110</v>
      </c>
      <c r="B323" t="s">
        <v>108</v>
      </c>
      <c r="C323">
        <v>901.27</v>
      </c>
      <c r="D323" s="8" t="s">
        <v>135</v>
      </c>
      <c r="E323" t="s">
        <v>121</v>
      </c>
      <c r="F323" t="s">
        <v>19</v>
      </c>
      <c r="G323" t="s">
        <v>98</v>
      </c>
      <c r="H323" s="8" t="s">
        <v>107</v>
      </c>
      <c r="I323" s="5">
        <v>45153</v>
      </c>
      <c r="J323" t="s">
        <v>23</v>
      </c>
      <c r="K323" t="s">
        <v>121</v>
      </c>
      <c r="L323" s="22">
        <v>1.6E-2</v>
      </c>
      <c r="M323" s="8" t="s">
        <v>124</v>
      </c>
      <c r="N323" s="21" t="s">
        <v>127</v>
      </c>
      <c r="O323" s="8" t="s">
        <v>125</v>
      </c>
    </row>
    <row r="324" spans="1:15" ht="15" x14ac:dyDescent="0.25">
      <c r="A324" t="s">
        <v>110</v>
      </c>
      <c r="B324" t="s">
        <v>108</v>
      </c>
      <c r="C324">
        <v>901.27</v>
      </c>
      <c r="D324" s="8" t="s">
        <v>135</v>
      </c>
      <c r="E324" t="s">
        <v>121</v>
      </c>
      <c r="F324" t="s">
        <v>19</v>
      </c>
      <c r="G324" t="s">
        <v>98</v>
      </c>
      <c r="H324" s="8" t="s">
        <v>107</v>
      </c>
      <c r="I324" s="5">
        <v>45153</v>
      </c>
      <c r="J324" t="s">
        <v>23</v>
      </c>
      <c r="K324" t="s">
        <v>121</v>
      </c>
      <c r="L324" s="22">
        <v>1.6E-2</v>
      </c>
      <c r="M324" s="8" t="s">
        <v>124</v>
      </c>
      <c r="N324" s="21" t="s">
        <v>127</v>
      </c>
      <c r="O324" s="8" t="s">
        <v>125</v>
      </c>
    </row>
    <row r="325" spans="1:15" ht="15" x14ac:dyDescent="0.25">
      <c r="A325" t="s">
        <v>110</v>
      </c>
      <c r="B325" t="s">
        <v>108</v>
      </c>
      <c r="C325">
        <v>901.27</v>
      </c>
      <c r="D325" s="8" t="s">
        <v>135</v>
      </c>
      <c r="E325" t="s">
        <v>113</v>
      </c>
      <c r="F325" t="s">
        <v>19</v>
      </c>
      <c r="G325" t="s">
        <v>130</v>
      </c>
      <c r="H325" s="8" t="s">
        <v>107</v>
      </c>
      <c r="I325" s="5">
        <v>45153</v>
      </c>
      <c r="J325" t="s">
        <v>23</v>
      </c>
      <c r="K325" t="s">
        <v>113</v>
      </c>
      <c r="L325" s="22">
        <v>3.0000000000000001E-3</v>
      </c>
      <c r="M325" s="8" t="s">
        <v>124</v>
      </c>
      <c r="N325" s="21" t="s">
        <v>127</v>
      </c>
      <c r="O325" s="8" t="s">
        <v>125</v>
      </c>
    </row>
    <row r="326" spans="1:15" ht="15" x14ac:dyDescent="0.25">
      <c r="A326" t="s">
        <v>109</v>
      </c>
      <c r="B326" t="s">
        <v>108</v>
      </c>
      <c r="C326">
        <v>901.27</v>
      </c>
      <c r="F326" t="s">
        <v>19</v>
      </c>
      <c r="G326" t="s">
        <v>60</v>
      </c>
      <c r="H326" s="8" t="s">
        <v>107</v>
      </c>
      <c r="I326" s="5">
        <v>45154</v>
      </c>
      <c r="J326" t="s">
        <v>119</v>
      </c>
      <c r="K326" t="s">
        <v>58</v>
      </c>
      <c r="L326" s="22" t="s">
        <v>58</v>
      </c>
      <c r="M326" s="8" t="s">
        <v>124</v>
      </c>
      <c r="N326" s="21" t="s">
        <v>127</v>
      </c>
    </row>
    <row r="327" spans="1:15" ht="15" x14ac:dyDescent="0.25">
      <c r="A327" t="s">
        <v>109</v>
      </c>
      <c r="B327" t="s">
        <v>108</v>
      </c>
      <c r="C327">
        <v>901.27</v>
      </c>
      <c r="F327" t="s">
        <v>19</v>
      </c>
      <c r="G327" t="s">
        <v>81</v>
      </c>
      <c r="H327" s="8" t="s">
        <v>107</v>
      </c>
      <c r="I327" s="5">
        <v>45154</v>
      </c>
      <c r="J327" t="s">
        <v>23</v>
      </c>
      <c r="K327" t="s">
        <v>121</v>
      </c>
      <c r="L327" s="22">
        <v>0.129524</v>
      </c>
      <c r="M327" s="8" t="s">
        <v>124</v>
      </c>
      <c r="N327" s="21" t="s">
        <v>127</v>
      </c>
      <c r="O327" s="8" t="s">
        <v>126</v>
      </c>
    </row>
    <row r="328" spans="1:15" ht="15" x14ac:dyDescent="0.25">
      <c r="A328" t="s">
        <v>109</v>
      </c>
      <c r="B328" t="s">
        <v>108</v>
      </c>
      <c r="C328">
        <v>901.27</v>
      </c>
      <c r="F328" t="s">
        <v>19</v>
      </c>
      <c r="G328" t="s">
        <v>81</v>
      </c>
      <c r="H328" s="8" t="s">
        <v>107</v>
      </c>
      <c r="I328" s="5">
        <v>45154</v>
      </c>
      <c r="J328" t="s">
        <v>23</v>
      </c>
      <c r="K328" t="s">
        <v>121</v>
      </c>
      <c r="L328" s="22">
        <v>0.129524</v>
      </c>
      <c r="M328" s="8" t="s">
        <v>124</v>
      </c>
      <c r="N328" s="21" t="s">
        <v>127</v>
      </c>
      <c r="O328" s="8" t="s">
        <v>126</v>
      </c>
    </row>
    <row r="329" spans="1:15" ht="15" x14ac:dyDescent="0.25">
      <c r="A329" t="s">
        <v>109</v>
      </c>
      <c r="B329" t="s">
        <v>108</v>
      </c>
      <c r="C329">
        <v>901.27</v>
      </c>
      <c r="F329" t="s">
        <v>19</v>
      </c>
      <c r="G329" t="s">
        <v>81</v>
      </c>
      <c r="H329" s="8" t="s">
        <v>107</v>
      </c>
      <c r="I329" s="5">
        <v>45154</v>
      </c>
      <c r="J329" t="s">
        <v>23</v>
      </c>
      <c r="K329" t="s">
        <v>121</v>
      </c>
      <c r="L329" s="22">
        <v>0.129524</v>
      </c>
      <c r="M329" s="8" t="s">
        <v>124</v>
      </c>
      <c r="N329" s="21" t="s">
        <v>127</v>
      </c>
      <c r="O329" s="8" t="s">
        <v>126</v>
      </c>
    </row>
    <row r="330" spans="1:15" ht="15" x14ac:dyDescent="0.25">
      <c r="A330" t="s">
        <v>109</v>
      </c>
      <c r="B330" t="s">
        <v>108</v>
      </c>
      <c r="C330">
        <v>901.27</v>
      </c>
      <c r="F330" t="s">
        <v>19</v>
      </c>
      <c r="G330" t="s">
        <v>82</v>
      </c>
      <c r="H330" s="8" t="s">
        <v>107</v>
      </c>
      <c r="I330" s="5">
        <v>45154</v>
      </c>
      <c r="J330" t="s">
        <v>58</v>
      </c>
      <c r="K330" t="s">
        <v>58</v>
      </c>
      <c r="L330" s="22" t="s">
        <v>58</v>
      </c>
      <c r="M330" s="8" t="s">
        <v>124</v>
      </c>
      <c r="N330" s="21" t="s">
        <v>127</v>
      </c>
    </row>
    <row r="331" spans="1:15" ht="15" x14ac:dyDescent="0.25">
      <c r="A331" t="s">
        <v>109</v>
      </c>
      <c r="B331" t="s">
        <v>108</v>
      </c>
      <c r="C331">
        <v>901.27</v>
      </c>
      <c r="F331" t="s">
        <v>19</v>
      </c>
      <c r="G331" t="s">
        <v>100</v>
      </c>
      <c r="H331" s="8" t="s">
        <v>107</v>
      </c>
      <c r="I331" s="5">
        <v>45154</v>
      </c>
      <c r="J331" t="s">
        <v>23</v>
      </c>
      <c r="K331" t="s">
        <v>121</v>
      </c>
      <c r="L331" s="22">
        <v>5.1999999999999998E-2</v>
      </c>
      <c r="M331" s="8" t="s">
        <v>124</v>
      </c>
      <c r="N331" s="21" t="s">
        <v>127</v>
      </c>
      <c r="O331" s="8" t="s">
        <v>125</v>
      </c>
    </row>
    <row r="332" spans="1:15" ht="15" x14ac:dyDescent="0.25">
      <c r="A332" t="s">
        <v>109</v>
      </c>
      <c r="B332" t="s">
        <v>108</v>
      </c>
      <c r="C332">
        <v>901.27</v>
      </c>
      <c r="F332" t="s">
        <v>19</v>
      </c>
      <c r="G332" t="s">
        <v>100</v>
      </c>
      <c r="H332" s="8" t="s">
        <v>107</v>
      </c>
      <c r="I332" s="5">
        <v>45154</v>
      </c>
      <c r="J332" t="s">
        <v>23</v>
      </c>
      <c r="K332" t="s">
        <v>121</v>
      </c>
      <c r="L332" s="22">
        <v>5.1999999999999998E-2</v>
      </c>
      <c r="M332" s="8" t="s">
        <v>124</v>
      </c>
      <c r="N332" s="21" t="s">
        <v>127</v>
      </c>
      <c r="O332" s="8" t="s">
        <v>125</v>
      </c>
    </row>
    <row r="333" spans="1:15" ht="15" x14ac:dyDescent="0.25">
      <c r="A333" t="s">
        <v>111</v>
      </c>
      <c r="B333" t="s">
        <v>108</v>
      </c>
      <c r="C333">
        <v>901.27</v>
      </c>
      <c r="F333" t="s">
        <v>19</v>
      </c>
      <c r="G333" t="s">
        <v>76</v>
      </c>
      <c r="H333" s="8" t="s">
        <v>107</v>
      </c>
      <c r="I333" s="5">
        <v>45155</v>
      </c>
      <c r="J333" t="s">
        <v>58</v>
      </c>
      <c r="K333" t="s">
        <v>58</v>
      </c>
      <c r="L333" s="22" t="s">
        <v>58</v>
      </c>
      <c r="M333" s="8" t="s">
        <v>124</v>
      </c>
      <c r="N333" s="21" t="s">
        <v>127</v>
      </c>
    </row>
    <row r="334" spans="1:15" ht="15" x14ac:dyDescent="0.25">
      <c r="A334" t="s">
        <v>111</v>
      </c>
      <c r="B334" t="s">
        <v>108</v>
      </c>
      <c r="C334">
        <v>901.27</v>
      </c>
      <c r="F334" t="s">
        <v>19</v>
      </c>
      <c r="G334" t="s">
        <v>105</v>
      </c>
      <c r="H334" s="8" t="s">
        <v>107</v>
      </c>
      <c r="I334" s="5">
        <v>45155</v>
      </c>
      <c r="J334" t="s">
        <v>120</v>
      </c>
      <c r="K334" t="s">
        <v>58</v>
      </c>
      <c r="L334" s="22" t="s">
        <v>58</v>
      </c>
      <c r="M334" s="8" t="s">
        <v>124</v>
      </c>
      <c r="N334" s="21" t="s">
        <v>127</v>
      </c>
    </row>
    <row r="335" spans="1:15" ht="15" x14ac:dyDescent="0.25">
      <c r="A335" t="s">
        <v>110</v>
      </c>
      <c r="B335" t="s">
        <v>108</v>
      </c>
      <c r="C335">
        <v>901.27</v>
      </c>
      <c r="D335" s="8" t="s">
        <v>135</v>
      </c>
      <c r="E335" t="s">
        <v>113</v>
      </c>
      <c r="F335" t="s">
        <v>19</v>
      </c>
      <c r="G335" t="s">
        <v>62</v>
      </c>
      <c r="H335" s="8" t="s">
        <v>107</v>
      </c>
      <c r="I335" s="5">
        <v>45175</v>
      </c>
      <c r="J335" t="s">
        <v>114</v>
      </c>
      <c r="K335" t="s">
        <v>113</v>
      </c>
      <c r="L335" s="22" t="s">
        <v>58</v>
      </c>
      <c r="M335" s="8" t="s">
        <v>124</v>
      </c>
      <c r="N335" s="21" t="s">
        <v>127</v>
      </c>
    </row>
    <row r="336" spans="1:15" ht="15" x14ac:dyDescent="0.25">
      <c r="A336" t="s">
        <v>110</v>
      </c>
      <c r="B336" t="s">
        <v>108</v>
      </c>
      <c r="C336">
        <v>901.27</v>
      </c>
      <c r="D336" s="8" t="s">
        <v>135</v>
      </c>
      <c r="E336" t="s">
        <v>113</v>
      </c>
      <c r="F336" t="s">
        <v>19</v>
      </c>
      <c r="G336" t="s">
        <v>71</v>
      </c>
      <c r="H336" s="8" t="s">
        <v>107</v>
      </c>
      <c r="I336" s="5">
        <v>45175</v>
      </c>
      <c r="J336" t="s">
        <v>114</v>
      </c>
      <c r="K336" t="s">
        <v>113</v>
      </c>
      <c r="L336" s="22" t="s">
        <v>58</v>
      </c>
      <c r="M336" s="8" t="s">
        <v>124</v>
      </c>
      <c r="N336" s="21" t="s">
        <v>127</v>
      </c>
    </row>
    <row r="337" spans="1:15" ht="15" x14ac:dyDescent="0.25">
      <c r="A337" t="s">
        <v>110</v>
      </c>
      <c r="B337" t="s">
        <v>108</v>
      </c>
      <c r="C337">
        <v>901.27</v>
      </c>
      <c r="D337" s="8" t="s">
        <v>135</v>
      </c>
      <c r="E337" t="s">
        <v>121</v>
      </c>
      <c r="F337" t="s">
        <v>19</v>
      </c>
      <c r="G337" t="s">
        <v>86</v>
      </c>
      <c r="H337" s="8" t="s">
        <v>107</v>
      </c>
      <c r="I337" s="5">
        <v>45175</v>
      </c>
      <c r="J337" t="s">
        <v>23</v>
      </c>
      <c r="K337" t="s">
        <v>121</v>
      </c>
      <c r="L337" s="22">
        <v>1.1627909999999999</v>
      </c>
      <c r="M337" s="8" t="s">
        <v>124</v>
      </c>
      <c r="N337" s="21" t="s">
        <v>127</v>
      </c>
      <c r="O337" s="8" t="s">
        <v>126</v>
      </c>
    </row>
    <row r="338" spans="1:15" ht="15" x14ac:dyDescent="0.25">
      <c r="A338" t="s">
        <v>110</v>
      </c>
      <c r="B338" t="s">
        <v>108</v>
      </c>
      <c r="C338">
        <v>901.27</v>
      </c>
      <c r="D338" s="8" t="s">
        <v>135</v>
      </c>
      <c r="E338" t="s">
        <v>121</v>
      </c>
      <c r="F338" t="s">
        <v>19</v>
      </c>
      <c r="G338" t="s">
        <v>86</v>
      </c>
      <c r="H338" s="8" t="s">
        <v>107</v>
      </c>
      <c r="I338" s="5">
        <v>45175</v>
      </c>
      <c r="J338" t="s">
        <v>23</v>
      </c>
      <c r="K338" t="s">
        <v>121</v>
      </c>
      <c r="L338" s="22">
        <v>1.1627909999999999</v>
      </c>
      <c r="M338" s="8" t="s">
        <v>124</v>
      </c>
      <c r="N338" s="21" t="s">
        <v>127</v>
      </c>
      <c r="O338" s="8" t="s">
        <v>126</v>
      </c>
    </row>
    <row r="339" spans="1:15" ht="15" x14ac:dyDescent="0.25">
      <c r="A339" t="s">
        <v>110</v>
      </c>
      <c r="B339" t="s">
        <v>108</v>
      </c>
      <c r="C339">
        <v>901.27</v>
      </c>
      <c r="D339" s="8" t="s">
        <v>135</v>
      </c>
      <c r="E339" t="s">
        <v>121</v>
      </c>
      <c r="F339" t="s">
        <v>19</v>
      </c>
      <c r="G339" t="s">
        <v>128</v>
      </c>
      <c r="H339" s="8" t="s">
        <v>107</v>
      </c>
      <c r="I339" s="5">
        <v>45175</v>
      </c>
      <c r="J339" t="s">
        <v>23</v>
      </c>
      <c r="K339" t="s">
        <v>121</v>
      </c>
      <c r="L339" s="22">
        <v>0.184615</v>
      </c>
      <c r="M339" s="8" t="s">
        <v>124</v>
      </c>
      <c r="N339" s="21" t="s">
        <v>127</v>
      </c>
      <c r="O339" s="8" t="s">
        <v>126</v>
      </c>
    </row>
    <row r="340" spans="1:15" ht="15" x14ac:dyDescent="0.25">
      <c r="A340" t="s">
        <v>110</v>
      </c>
      <c r="B340" t="s">
        <v>108</v>
      </c>
      <c r="C340">
        <v>901.27</v>
      </c>
      <c r="D340" s="8" t="s">
        <v>135</v>
      </c>
      <c r="E340" t="s">
        <v>113</v>
      </c>
      <c r="F340" t="s">
        <v>19</v>
      </c>
      <c r="G340" t="s">
        <v>130</v>
      </c>
      <c r="H340" s="8" t="s">
        <v>107</v>
      </c>
      <c r="I340" s="5">
        <v>45175</v>
      </c>
      <c r="J340" t="s">
        <v>23</v>
      </c>
      <c r="K340" t="s">
        <v>113</v>
      </c>
      <c r="L340" s="22">
        <v>1.6E-2</v>
      </c>
      <c r="M340" s="8" t="s">
        <v>124</v>
      </c>
      <c r="N340" s="21" t="s">
        <v>127</v>
      </c>
      <c r="O340" s="8" t="s">
        <v>126</v>
      </c>
    </row>
    <row r="341" spans="1:15" ht="15" x14ac:dyDescent="0.25">
      <c r="A341" t="s">
        <v>110</v>
      </c>
      <c r="B341" t="s">
        <v>108</v>
      </c>
      <c r="C341">
        <v>901.27</v>
      </c>
      <c r="D341" s="8" t="s">
        <v>135</v>
      </c>
      <c r="E341" t="s">
        <v>113</v>
      </c>
      <c r="F341" t="s">
        <v>19</v>
      </c>
      <c r="G341" t="s">
        <v>131</v>
      </c>
      <c r="H341" s="8" t="s">
        <v>107</v>
      </c>
      <c r="I341" s="5">
        <v>45175</v>
      </c>
      <c r="J341" t="s">
        <v>114</v>
      </c>
      <c r="K341" t="s">
        <v>113</v>
      </c>
      <c r="L341" s="22" t="s">
        <v>58</v>
      </c>
      <c r="M341" s="8" t="s">
        <v>124</v>
      </c>
      <c r="N341" s="21" t="s">
        <v>127</v>
      </c>
    </row>
    <row r="342" spans="1:15" ht="15" x14ac:dyDescent="0.25">
      <c r="A342" t="s">
        <v>110</v>
      </c>
      <c r="B342" t="s">
        <v>108</v>
      </c>
      <c r="C342">
        <v>901.27</v>
      </c>
      <c r="D342" s="8" t="s">
        <v>134</v>
      </c>
      <c r="E342" t="s">
        <v>113</v>
      </c>
      <c r="F342" t="s">
        <v>19</v>
      </c>
      <c r="G342" t="s">
        <v>133</v>
      </c>
      <c r="H342" s="8" t="s">
        <v>107</v>
      </c>
      <c r="I342" s="5">
        <v>45175</v>
      </c>
      <c r="J342" t="s">
        <v>120</v>
      </c>
      <c r="K342" t="s">
        <v>113</v>
      </c>
      <c r="L342" s="22" t="s">
        <v>58</v>
      </c>
      <c r="M342" s="8" t="s">
        <v>124</v>
      </c>
      <c r="N342" s="21" t="s">
        <v>127</v>
      </c>
    </row>
    <row r="343" spans="1:15" ht="15" x14ac:dyDescent="0.25">
      <c r="A343" t="s">
        <v>137</v>
      </c>
      <c r="B343" s="8" t="s">
        <v>182</v>
      </c>
      <c r="C343">
        <v>901.13</v>
      </c>
      <c r="D343" s="8" t="s">
        <v>182</v>
      </c>
      <c r="E343" t="s">
        <v>121</v>
      </c>
      <c r="F343" t="s">
        <v>19</v>
      </c>
      <c r="G343" t="s">
        <v>142</v>
      </c>
      <c r="H343" s="8" t="s">
        <v>116</v>
      </c>
      <c r="I343" s="5">
        <v>44320</v>
      </c>
      <c r="J343" t="s">
        <v>23</v>
      </c>
      <c r="K343" t="s">
        <v>121</v>
      </c>
      <c r="L343" s="22">
        <v>3.8399999999999997E-2</v>
      </c>
      <c r="M343" s="8" t="s">
        <v>124</v>
      </c>
      <c r="N343" s="21" t="s">
        <v>127</v>
      </c>
    </row>
    <row r="344" spans="1:15" ht="15" x14ac:dyDescent="0.25">
      <c r="A344" t="s">
        <v>136</v>
      </c>
      <c r="B344" s="8" t="s">
        <v>182</v>
      </c>
      <c r="C344">
        <v>901.13</v>
      </c>
      <c r="D344" s="8" t="s">
        <v>182</v>
      </c>
      <c r="E344" t="s">
        <v>113</v>
      </c>
      <c r="F344" t="s">
        <v>19</v>
      </c>
      <c r="G344" t="s">
        <v>143</v>
      </c>
      <c r="H344" s="8" t="s">
        <v>116</v>
      </c>
      <c r="I344" s="5">
        <v>44320</v>
      </c>
      <c r="J344" t="s">
        <v>119</v>
      </c>
      <c r="K344" t="s">
        <v>113</v>
      </c>
      <c r="L344" s="22" t="s">
        <v>58</v>
      </c>
      <c r="M344" s="8" t="s">
        <v>124</v>
      </c>
      <c r="N344" s="21" t="s">
        <v>127</v>
      </c>
    </row>
    <row r="345" spans="1:15" ht="15" x14ac:dyDescent="0.25">
      <c r="A345" t="s">
        <v>136</v>
      </c>
      <c r="B345" s="8" t="s">
        <v>182</v>
      </c>
      <c r="C345">
        <v>901.13</v>
      </c>
      <c r="D345" s="8" t="s">
        <v>182</v>
      </c>
      <c r="E345" t="s">
        <v>113</v>
      </c>
      <c r="F345" t="s">
        <v>19</v>
      </c>
      <c r="G345" t="s">
        <v>144</v>
      </c>
      <c r="H345" s="8" t="s">
        <v>116</v>
      </c>
      <c r="I345" s="5">
        <v>44320</v>
      </c>
      <c r="J345" t="s">
        <v>23</v>
      </c>
      <c r="K345" t="s">
        <v>113</v>
      </c>
      <c r="L345" s="22">
        <v>5.9999999999999995E-4</v>
      </c>
      <c r="M345" s="8" t="s">
        <v>124</v>
      </c>
      <c r="N345" s="21" t="s">
        <v>127</v>
      </c>
    </row>
    <row r="346" spans="1:15" ht="15" x14ac:dyDescent="0.25">
      <c r="A346" t="s">
        <v>136</v>
      </c>
      <c r="B346" s="8" t="s">
        <v>182</v>
      </c>
      <c r="C346">
        <v>901.13</v>
      </c>
      <c r="D346" s="8" t="s">
        <v>182</v>
      </c>
      <c r="E346" t="s">
        <v>113</v>
      </c>
      <c r="F346" t="s">
        <v>19</v>
      </c>
      <c r="G346" t="s">
        <v>148</v>
      </c>
      <c r="H346" s="8" t="s">
        <v>116</v>
      </c>
      <c r="I346" s="5">
        <v>44320</v>
      </c>
      <c r="J346" t="s">
        <v>114</v>
      </c>
      <c r="K346" t="s">
        <v>113</v>
      </c>
      <c r="L346" s="22" t="s">
        <v>58</v>
      </c>
      <c r="M346" s="8" t="s">
        <v>124</v>
      </c>
      <c r="N346" s="21" t="s">
        <v>127</v>
      </c>
    </row>
    <row r="347" spans="1:15" ht="15" x14ac:dyDescent="0.25">
      <c r="A347" t="s">
        <v>136</v>
      </c>
      <c r="B347" s="8" t="s">
        <v>182</v>
      </c>
      <c r="C347">
        <v>901.13</v>
      </c>
      <c r="D347" s="8" t="s">
        <v>182</v>
      </c>
      <c r="E347" t="s">
        <v>113</v>
      </c>
      <c r="F347" t="s">
        <v>19</v>
      </c>
      <c r="G347" t="s">
        <v>149</v>
      </c>
      <c r="H347" s="8" t="s">
        <v>116</v>
      </c>
      <c r="I347" s="5">
        <v>44320</v>
      </c>
      <c r="J347" t="s">
        <v>119</v>
      </c>
      <c r="K347" t="s">
        <v>113</v>
      </c>
      <c r="L347" s="22" t="s">
        <v>58</v>
      </c>
      <c r="M347" s="8" t="s">
        <v>124</v>
      </c>
      <c r="N347" s="21" t="s">
        <v>127</v>
      </c>
    </row>
    <row r="348" spans="1:15" ht="15" x14ac:dyDescent="0.25">
      <c r="A348" t="s">
        <v>136</v>
      </c>
      <c r="B348" s="8" t="s">
        <v>182</v>
      </c>
      <c r="C348">
        <v>901.13</v>
      </c>
      <c r="D348" s="8" t="s">
        <v>182</v>
      </c>
      <c r="E348" t="s">
        <v>113</v>
      </c>
      <c r="F348" t="s">
        <v>19</v>
      </c>
      <c r="G348" t="s">
        <v>154</v>
      </c>
      <c r="H348" s="8" t="s">
        <v>116</v>
      </c>
      <c r="I348" s="5">
        <v>44320</v>
      </c>
      <c r="J348" t="s">
        <v>114</v>
      </c>
      <c r="K348" t="s">
        <v>113</v>
      </c>
      <c r="L348" s="22" t="s">
        <v>58</v>
      </c>
      <c r="M348" s="8" t="s">
        <v>124</v>
      </c>
      <c r="N348" s="21" t="s">
        <v>127</v>
      </c>
    </row>
    <row r="349" spans="1:15" ht="15" x14ac:dyDescent="0.25">
      <c r="A349" t="s">
        <v>136</v>
      </c>
      <c r="B349" s="8" t="s">
        <v>182</v>
      </c>
      <c r="C349">
        <v>901.13</v>
      </c>
      <c r="D349" s="8" t="s">
        <v>182</v>
      </c>
      <c r="E349" t="s">
        <v>112</v>
      </c>
      <c r="F349" t="s">
        <v>19</v>
      </c>
      <c r="G349" t="s">
        <v>158</v>
      </c>
      <c r="H349" s="8" t="s">
        <v>116</v>
      </c>
      <c r="I349" s="5">
        <v>44320</v>
      </c>
      <c r="J349" t="s">
        <v>23</v>
      </c>
      <c r="K349" t="s">
        <v>112</v>
      </c>
      <c r="L349" s="22">
        <v>4.8000000000000001E-2</v>
      </c>
      <c r="M349" s="8" t="s">
        <v>124</v>
      </c>
      <c r="N349" s="21" t="s">
        <v>127</v>
      </c>
      <c r="O349" s="8" t="s">
        <v>126</v>
      </c>
    </row>
    <row r="350" spans="1:15" ht="15" x14ac:dyDescent="0.25">
      <c r="A350" t="s">
        <v>136</v>
      </c>
      <c r="B350" s="8" t="s">
        <v>182</v>
      </c>
      <c r="C350">
        <v>901.13</v>
      </c>
      <c r="D350" s="8" t="s">
        <v>182</v>
      </c>
      <c r="E350" t="s">
        <v>113</v>
      </c>
      <c r="F350" t="s">
        <v>19</v>
      </c>
      <c r="G350" t="s">
        <v>159</v>
      </c>
      <c r="H350" s="8" t="s">
        <v>116</v>
      </c>
      <c r="I350" s="5">
        <v>44320</v>
      </c>
      <c r="J350" t="s">
        <v>23</v>
      </c>
      <c r="K350" t="s">
        <v>113</v>
      </c>
      <c r="L350" s="22">
        <v>3.0000000000000001E-3</v>
      </c>
      <c r="M350" s="8" t="s">
        <v>124</v>
      </c>
      <c r="N350" s="21" t="s">
        <v>127</v>
      </c>
      <c r="O350" s="8" t="s">
        <v>126</v>
      </c>
    </row>
    <row r="351" spans="1:15" ht="15" x14ac:dyDescent="0.25">
      <c r="A351" t="s">
        <v>136</v>
      </c>
      <c r="B351" s="8" t="s">
        <v>182</v>
      </c>
      <c r="C351">
        <v>901.13</v>
      </c>
      <c r="D351" s="8" t="s">
        <v>182</v>
      </c>
      <c r="E351" t="s">
        <v>121</v>
      </c>
      <c r="F351" t="s">
        <v>19</v>
      </c>
      <c r="G351" t="s">
        <v>160</v>
      </c>
      <c r="H351" s="8" t="s">
        <v>116</v>
      </c>
      <c r="I351" s="5">
        <v>44320</v>
      </c>
      <c r="J351" t="s">
        <v>119</v>
      </c>
      <c r="K351" t="s">
        <v>121</v>
      </c>
      <c r="L351" s="22" t="s">
        <v>58</v>
      </c>
      <c r="M351" s="8" t="s">
        <v>124</v>
      </c>
      <c r="N351" s="21" t="s">
        <v>127</v>
      </c>
    </row>
    <row r="352" spans="1:15" ht="15" x14ac:dyDescent="0.25">
      <c r="A352" t="s">
        <v>138</v>
      </c>
      <c r="B352" s="8" t="s">
        <v>182</v>
      </c>
      <c r="C352">
        <v>901.13</v>
      </c>
      <c r="D352" s="8" t="s">
        <v>182</v>
      </c>
      <c r="E352" t="s">
        <v>121</v>
      </c>
      <c r="F352" t="s">
        <v>19</v>
      </c>
      <c r="G352" t="s">
        <v>164</v>
      </c>
      <c r="H352" s="8" t="s">
        <v>116</v>
      </c>
      <c r="I352" s="5">
        <v>44320</v>
      </c>
      <c r="J352" t="s">
        <v>23</v>
      </c>
      <c r="K352" t="s">
        <v>121</v>
      </c>
      <c r="L352" s="22">
        <v>3.5140000000000002E-3</v>
      </c>
      <c r="M352" s="8" t="s">
        <v>124</v>
      </c>
      <c r="N352" s="21" t="s">
        <v>127</v>
      </c>
      <c r="O352" s="8" t="s">
        <v>126</v>
      </c>
    </row>
    <row r="353" spans="1:15" ht="15" x14ac:dyDescent="0.25">
      <c r="A353" t="s">
        <v>137</v>
      </c>
      <c r="B353" s="8" t="s">
        <v>182</v>
      </c>
      <c r="C353">
        <v>901.13</v>
      </c>
      <c r="D353" s="8" t="s">
        <v>182</v>
      </c>
      <c r="E353" t="s">
        <v>121</v>
      </c>
      <c r="F353" t="s">
        <v>19</v>
      </c>
      <c r="G353" t="s">
        <v>170</v>
      </c>
      <c r="H353" s="8" t="s">
        <v>116</v>
      </c>
      <c r="I353" s="5">
        <v>44320</v>
      </c>
      <c r="J353" t="s">
        <v>23</v>
      </c>
      <c r="K353" t="s">
        <v>121</v>
      </c>
      <c r="L353" s="22">
        <v>1.575E-2</v>
      </c>
      <c r="M353" s="8" t="s">
        <v>124</v>
      </c>
      <c r="N353" s="21" t="s">
        <v>127</v>
      </c>
      <c r="O353" s="8" t="s">
        <v>126</v>
      </c>
    </row>
    <row r="354" spans="1:15" ht="15" x14ac:dyDescent="0.25">
      <c r="A354" t="s">
        <v>136</v>
      </c>
      <c r="B354" s="8" t="s">
        <v>182</v>
      </c>
      <c r="C354">
        <v>901.13</v>
      </c>
      <c r="D354" s="8" t="s">
        <v>182</v>
      </c>
      <c r="E354" t="s">
        <v>113</v>
      </c>
      <c r="F354" t="s">
        <v>19</v>
      </c>
      <c r="G354" t="s">
        <v>178</v>
      </c>
      <c r="H354" s="8" t="s">
        <v>116</v>
      </c>
      <c r="I354" s="5">
        <v>44320</v>
      </c>
      <c r="J354" t="s">
        <v>114</v>
      </c>
      <c r="K354" t="s">
        <v>113</v>
      </c>
      <c r="L354" s="22" t="s">
        <v>58</v>
      </c>
      <c r="M354" s="8" t="s">
        <v>124</v>
      </c>
      <c r="N354" s="21" t="s">
        <v>127</v>
      </c>
    </row>
    <row r="355" spans="1:15" ht="15" x14ac:dyDescent="0.25">
      <c r="A355" t="s">
        <v>137</v>
      </c>
      <c r="B355" s="8" t="s">
        <v>182</v>
      </c>
      <c r="C355">
        <v>901.13</v>
      </c>
      <c r="D355" s="8" t="s">
        <v>182</v>
      </c>
      <c r="E355" t="s">
        <v>113</v>
      </c>
      <c r="F355" t="s">
        <v>19</v>
      </c>
      <c r="G355" t="s">
        <v>179</v>
      </c>
      <c r="H355" s="8" t="s">
        <v>116</v>
      </c>
      <c r="I355" s="5">
        <v>44320</v>
      </c>
      <c r="J355" t="s">
        <v>114</v>
      </c>
      <c r="K355" t="s">
        <v>113</v>
      </c>
      <c r="L355" s="22" t="s">
        <v>58</v>
      </c>
      <c r="M355" s="8" t="s">
        <v>124</v>
      </c>
      <c r="N355" s="21" t="s">
        <v>127</v>
      </c>
    </row>
    <row r="356" spans="1:15" ht="15" x14ac:dyDescent="0.25">
      <c r="A356" t="s">
        <v>139</v>
      </c>
      <c r="B356" s="8" t="s">
        <v>182</v>
      </c>
      <c r="C356">
        <v>901.13</v>
      </c>
      <c r="D356" s="8" t="s">
        <v>182</v>
      </c>
      <c r="E356"/>
      <c r="F356" t="s">
        <v>19</v>
      </c>
      <c r="G356" t="s">
        <v>155</v>
      </c>
      <c r="H356" s="8" t="s">
        <v>116</v>
      </c>
      <c r="I356" s="5">
        <v>44321</v>
      </c>
      <c r="J356" t="s">
        <v>23</v>
      </c>
      <c r="K356" t="s">
        <v>121</v>
      </c>
      <c r="L356" s="22">
        <v>2.7E-2</v>
      </c>
      <c r="M356" s="8" t="s">
        <v>124</v>
      </c>
      <c r="N356" s="21" t="s">
        <v>127</v>
      </c>
      <c r="O356" s="8" t="s">
        <v>125</v>
      </c>
    </row>
    <row r="357" spans="1:15" ht="15" x14ac:dyDescent="0.25">
      <c r="A357" t="s">
        <v>139</v>
      </c>
      <c r="B357" s="8" t="s">
        <v>182</v>
      </c>
      <c r="C357">
        <v>901.13</v>
      </c>
      <c r="D357" s="8" t="s">
        <v>182</v>
      </c>
      <c r="E357"/>
      <c r="F357" t="s">
        <v>19</v>
      </c>
      <c r="G357" t="s">
        <v>155</v>
      </c>
      <c r="H357" s="8" t="s">
        <v>116</v>
      </c>
      <c r="I357" s="5">
        <v>44321</v>
      </c>
      <c r="J357" t="s">
        <v>23</v>
      </c>
      <c r="K357" t="s">
        <v>121</v>
      </c>
      <c r="L357" s="22">
        <v>0</v>
      </c>
      <c r="M357" s="8" t="s">
        <v>124</v>
      </c>
      <c r="N357" s="21" t="s">
        <v>127</v>
      </c>
      <c r="O357" s="8" t="s">
        <v>125</v>
      </c>
    </row>
    <row r="358" spans="1:15" ht="15" x14ac:dyDescent="0.25">
      <c r="A358" t="s">
        <v>136</v>
      </c>
      <c r="B358" s="8" t="s">
        <v>182</v>
      </c>
      <c r="C358">
        <v>901.13</v>
      </c>
      <c r="D358" s="8" t="s">
        <v>182</v>
      </c>
      <c r="E358" t="s">
        <v>112</v>
      </c>
      <c r="F358" t="s">
        <v>19</v>
      </c>
      <c r="G358" t="s">
        <v>157</v>
      </c>
      <c r="H358" s="8" t="s">
        <v>116</v>
      </c>
      <c r="I358" s="5">
        <v>44321</v>
      </c>
      <c r="J358" t="s">
        <v>119</v>
      </c>
      <c r="K358" t="s">
        <v>112</v>
      </c>
      <c r="L358" s="22">
        <v>0</v>
      </c>
      <c r="M358" s="8" t="s">
        <v>124</v>
      </c>
      <c r="N358" s="21" t="s">
        <v>127</v>
      </c>
      <c r="O358" s="8" t="s">
        <v>125</v>
      </c>
    </row>
    <row r="359" spans="1:15" ht="15" x14ac:dyDescent="0.25">
      <c r="A359" t="s">
        <v>139</v>
      </c>
      <c r="B359" s="8" t="s">
        <v>182</v>
      </c>
      <c r="C359">
        <v>901.13</v>
      </c>
      <c r="D359" s="8" t="s">
        <v>182</v>
      </c>
      <c r="E359" t="s">
        <v>121</v>
      </c>
      <c r="F359" t="s">
        <v>19</v>
      </c>
      <c r="G359" t="s">
        <v>166</v>
      </c>
      <c r="H359" s="8" t="s">
        <v>116</v>
      </c>
      <c r="I359" s="5">
        <v>44321</v>
      </c>
      <c r="J359" t="s">
        <v>23</v>
      </c>
      <c r="K359" t="s">
        <v>121</v>
      </c>
      <c r="L359" s="22">
        <v>3.0000000000000001E-3</v>
      </c>
      <c r="M359" s="8" t="s">
        <v>124</v>
      </c>
      <c r="N359" s="21" t="s">
        <v>127</v>
      </c>
      <c r="O359" s="8" t="s">
        <v>125</v>
      </c>
    </row>
    <row r="360" spans="1:15" ht="15" x14ac:dyDescent="0.25">
      <c r="A360" t="s">
        <v>138</v>
      </c>
      <c r="B360" s="8" t="s">
        <v>182</v>
      </c>
      <c r="C360">
        <v>901.13</v>
      </c>
      <c r="D360" s="8" t="s">
        <v>182</v>
      </c>
      <c r="E360" t="s">
        <v>113</v>
      </c>
      <c r="F360" t="s">
        <v>19</v>
      </c>
      <c r="G360" t="s">
        <v>167</v>
      </c>
      <c r="H360" s="8" t="s">
        <v>116</v>
      </c>
      <c r="I360" s="5">
        <v>44321</v>
      </c>
      <c r="J360" t="s">
        <v>23</v>
      </c>
      <c r="K360" t="s">
        <v>113</v>
      </c>
      <c r="L360" s="22">
        <v>1.4059999999999999E-3</v>
      </c>
      <c r="M360" s="8" t="s">
        <v>124</v>
      </c>
      <c r="N360" s="21" t="s">
        <v>127</v>
      </c>
      <c r="O360" s="8" t="s">
        <v>126</v>
      </c>
    </row>
    <row r="361" spans="1:15" ht="15" x14ac:dyDescent="0.25">
      <c r="A361" t="s">
        <v>136</v>
      </c>
      <c r="B361" s="8" t="s">
        <v>182</v>
      </c>
      <c r="C361">
        <v>901.13</v>
      </c>
      <c r="D361" s="8" t="s">
        <v>182</v>
      </c>
      <c r="E361" t="s">
        <v>121</v>
      </c>
      <c r="F361" t="s">
        <v>19</v>
      </c>
      <c r="G361" t="s">
        <v>172</v>
      </c>
      <c r="H361" s="8" t="s">
        <v>116</v>
      </c>
      <c r="I361" s="5">
        <v>44321</v>
      </c>
      <c r="J361" t="s">
        <v>23</v>
      </c>
      <c r="K361" t="s">
        <v>121</v>
      </c>
      <c r="L361" s="22">
        <v>8.9999999999999998E-4</v>
      </c>
      <c r="M361" s="8" t="s">
        <v>124</v>
      </c>
      <c r="N361" s="21" t="s">
        <v>127</v>
      </c>
    </row>
    <row r="362" spans="1:15" ht="15" x14ac:dyDescent="0.25">
      <c r="A362" t="s">
        <v>138</v>
      </c>
      <c r="B362" s="8" t="s">
        <v>182</v>
      </c>
      <c r="C362">
        <v>901.13</v>
      </c>
      <c r="D362" s="8" t="s">
        <v>182</v>
      </c>
      <c r="E362" t="s">
        <v>121</v>
      </c>
      <c r="F362" t="s">
        <v>19</v>
      </c>
      <c r="G362" t="s">
        <v>173</v>
      </c>
      <c r="H362" s="8" t="s">
        <v>116</v>
      </c>
      <c r="I362" s="5">
        <v>44321</v>
      </c>
      <c r="J362" t="s">
        <v>23</v>
      </c>
      <c r="K362" t="s">
        <v>121</v>
      </c>
      <c r="L362" s="22">
        <v>1E-3</v>
      </c>
      <c r="M362" s="8" t="s">
        <v>124</v>
      </c>
      <c r="N362" s="21" t="s">
        <v>127</v>
      </c>
      <c r="O362" s="8" t="s">
        <v>125</v>
      </c>
    </row>
    <row r="363" spans="1:15" ht="15" x14ac:dyDescent="0.25">
      <c r="A363" t="s">
        <v>139</v>
      </c>
      <c r="B363" s="8" t="s">
        <v>182</v>
      </c>
      <c r="C363">
        <v>901.13</v>
      </c>
      <c r="D363" s="8" t="s">
        <v>182</v>
      </c>
      <c r="E363"/>
      <c r="F363" t="s">
        <v>19</v>
      </c>
      <c r="G363" t="s">
        <v>174</v>
      </c>
      <c r="H363" s="8" t="s">
        <v>116</v>
      </c>
      <c r="I363" s="5">
        <v>44329</v>
      </c>
      <c r="J363" t="s">
        <v>119</v>
      </c>
      <c r="K363" t="s">
        <v>58</v>
      </c>
      <c r="L363" s="22" t="s">
        <v>58</v>
      </c>
      <c r="M363" s="8" t="s">
        <v>124</v>
      </c>
      <c r="N363" s="21" t="s">
        <v>127</v>
      </c>
    </row>
    <row r="364" spans="1:15" ht="15" x14ac:dyDescent="0.25">
      <c r="A364" t="s">
        <v>140</v>
      </c>
      <c r="B364" s="8" t="s">
        <v>182</v>
      </c>
      <c r="C364">
        <v>901.13</v>
      </c>
      <c r="D364" s="8" t="s">
        <v>182</v>
      </c>
      <c r="E364" t="s">
        <v>122</v>
      </c>
      <c r="F364" t="s">
        <v>19</v>
      </c>
      <c r="G364" t="s">
        <v>177</v>
      </c>
      <c r="H364" s="8" t="s">
        <v>116</v>
      </c>
      <c r="I364" s="5">
        <v>44341</v>
      </c>
      <c r="J364" t="s">
        <v>119</v>
      </c>
      <c r="K364" t="s">
        <v>122</v>
      </c>
      <c r="L364" s="22" t="s">
        <v>58</v>
      </c>
      <c r="M364" s="8" t="s">
        <v>124</v>
      </c>
      <c r="N364" s="21" t="s">
        <v>127</v>
      </c>
    </row>
    <row r="365" spans="1:15" ht="15" x14ac:dyDescent="0.25">
      <c r="A365" t="s">
        <v>138</v>
      </c>
      <c r="B365" s="8" t="s">
        <v>182</v>
      </c>
      <c r="C365">
        <v>901.13</v>
      </c>
      <c r="D365" s="8" t="s">
        <v>182</v>
      </c>
      <c r="E365" t="s">
        <v>121</v>
      </c>
      <c r="F365" t="s">
        <v>19</v>
      </c>
      <c r="G365" t="s">
        <v>145</v>
      </c>
      <c r="H365" s="8" t="s">
        <v>116</v>
      </c>
      <c r="I365" s="5">
        <v>44342</v>
      </c>
      <c r="J365" t="s">
        <v>23</v>
      </c>
      <c r="K365" t="s">
        <v>121</v>
      </c>
      <c r="L365" s="22">
        <v>4.1250000000000002E-2</v>
      </c>
      <c r="M365" s="8" t="s">
        <v>124</v>
      </c>
      <c r="N365" s="21" t="s">
        <v>127</v>
      </c>
      <c r="O365" s="8" t="s">
        <v>126</v>
      </c>
    </row>
    <row r="366" spans="1:15" ht="15" x14ac:dyDescent="0.25">
      <c r="A366" t="s">
        <v>138</v>
      </c>
      <c r="B366" s="8" t="s">
        <v>182</v>
      </c>
      <c r="C366">
        <v>901.13</v>
      </c>
      <c r="D366" s="8" t="s">
        <v>182</v>
      </c>
      <c r="E366" t="s">
        <v>112</v>
      </c>
      <c r="F366" t="s">
        <v>19</v>
      </c>
      <c r="G366" t="s">
        <v>146</v>
      </c>
      <c r="H366" s="8" t="s">
        <v>116</v>
      </c>
      <c r="I366" s="5">
        <v>44342</v>
      </c>
      <c r="J366" t="s">
        <v>23</v>
      </c>
      <c r="K366" t="s">
        <v>112</v>
      </c>
      <c r="L366" s="22">
        <v>0.126</v>
      </c>
      <c r="M366" s="8" t="s">
        <v>124</v>
      </c>
      <c r="N366" s="21" t="s">
        <v>127</v>
      </c>
      <c r="O366" s="8" t="s">
        <v>126</v>
      </c>
    </row>
    <row r="367" spans="1:15" ht="15" x14ac:dyDescent="0.25">
      <c r="A367" t="s">
        <v>138</v>
      </c>
      <c r="B367" s="8" t="s">
        <v>182</v>
      </c>
      <c r="C367">
        <v>901.13</v>
      </c>
      <c r="D367" s="8" t="s">
        <v>182</v>
      </c>
      <c r="E367" t="s">
        <v>112</v>
      </c>
      <c r="F367" t="s">
        <v>19</v>
      </c>
      <c r="G367" t="s">
        <v>151</v>
      </c>
      <c r="H367" s="8" t="s">
        <v>116</v>
      </c>
      <c r="I367" s="5">
        <v>44342</v>
      </c>
      <c r="J367" t="s">
        <v>23</v>
      </c>
      <c r="K367" t="s">
        <v>112</v>
      </c>
      <c r="L367" s="22">
        <v>5.6000000000000001E-2</v>
      </c>
      <c r="M367" s="8" t="s">
        <v>124</v>
      </c>
      <c r="N367" s="21" t="s">
        <v>127</v>
      </c>
      <c r="O367" s="8" t="s">
        <v>126</v>
      </c>
    </row>
    <row r="368" spans="1:15" ht="15" x14ac:dyDescent="0.25">
      <c r="A368" t="s">
        <v>138</v>
      </c>
      <c r="B368" s="8" t="s">
        <v>182</v>
      </c>
      <c r="C368">
        <v>901.13</v>
      </c>
      <c r="D368" s="8" t="s">
        <v>182</v>
      </c>
      <c r="E368" t="s">
        <v>112</v>
      </c>
      <c r="F368" t="s">
        <v>19</v>
      </c>
      <c r="G368" t="s">
        <v>165</v>
      </c>
      <c r="H368" s="8" t="s">
        <v>116</v>
      </c>
      <c r="I368" s="5">
        <v>44342</v>
      </c>
      <c r="J368" t="s">
        <v>23</v>
      </c>
      <c r="K368" t="s">
        <v>112</v>
      </c>
      <c r="L368" s="22">
        <v>4.2000000000000003E-2</v>
      </c>
      <c r="M368" s="8" t="s">
        <v>124</v>
      </c>
      <c r="N368" s="21" t="s">
        <v>127</v>
      </c>
      <c r="O368" s="8" t="s">
        <v>126</v>
      </c>
    </row>
    <row r="369" spans="1:15" ht="15" x14ac:dyDescent="0.25">
      <c r="A369" t="s">
        <v>138</v>
      </c>
      <c r="B369" s="8" t="s">
        <v>182</v>
      </c>
      <c r="C369">
        <v>901.13</v>
      </c>
      <c r="D369" s="8" t="s">
        <v>182</v>
      </c>
      <c r="E369" t="s">
        <v>121</v>
      </c>
      <c r="F369" t="s">
        <v>19</v>
      </c>
      <c r="G369" t="s">
        <v>171</v>
      </c>
      <c r="H369" s="8" t="s">
        <v>116</v>
      </c>
      <c r="I369" s="5">
        <v>44342</v>
      </c>
      <c r="J369" t="s">
        <v>23</v>
      </c>
      <c r="K369" t="s">
        <v>121</v>
      </c>
      <c r="L369" s="22">
        <v>3.8399999999999997E-2</v>
      </c>
      <c r="M369" s="8" t="s">
        <v>124</v>
      </c>
      <c r="N369" s="21" t="s">
        <v>127</v>
      </c>
      <c r="O369" s="8" t="s">
        <v>126</v>
      </c>
    </row>
    <row r="370" spans="1:15" ht="15" x14ac:dyDescent="0.25">
      <c r="A370" t="s">
        <v>136</v>
      </c>
      <c r="B370" s="8" t="s">
        <v>182</v>
      </c>
      <c r="C370">
        <v>901.13</v>
      </c>
      <c r="D370" s="8" t="s">
        <v>182</v>
      </c>
      <c r="E370" t="s">
        <v>113</v>
      </c>
      <c r="F370" t="s">
        <v>19</v>
      </c>
      <c r="G370" t="s">
        <v>141</v>
      </c>
      <c r="H370" s="8" t="s">
        <v>116</v>
      </c>
      <c r="I370" s="5">
        <v>44343</v>
      </c>
      <c r="J370" t="s">
        <v>114</v>
      </c>
      <c r="K370" t="s">
        <v>113</v>
      </c>
      <c r="L370" s="22" t="s">
        <v>58</v>
      </c>
      <c r="M370" s="8" t="s">
        <v>124</v>
      </c>
      <c r="N370" s="21" t="s">
        <v>127</v>
      </c>
    </row>
    <row r="371" spans="1:15" ht="15" x14ac:dyDescent="0.25">
      <c r="A371" t="s">
        <v>136</v>
      </c>
      <c r="B371" s="8" t="s">
        <v>182</v>
      </c>
      <c r="C371">
        <v>901.13</v>
      </c>
      <c r="D371" s="8" t="s">
        <v>182</v>
      </c>
      <c r="E371" t="s">
        <v>113</v>
      </c>
      <c r="F371" t="s">
        <v>19</v>
      </c>
      <c r="G371" t="s">
        <v>152</v>
      </c>
      <c r="H371" s="8" t="s">
        <v>116</v>
      </c>
      <c r="I371" s="5">
        <v>44343</v>
      </c>
      <c r="J371" t="s">
        <v>120</v>
      </c>
      <c r="K371" t="s">
        <v>113</v>
      </c>
      <c r="L371" s="22" t="s">
        <v>58</v>
      </c>
      <c r="M371" s="8" t="s">
        <v>124</v>
      </c>
      <c r="N371" s="21" t="s">
        <v>127</v>
      </c>
    </row>
    <row r="372" spans="1:15" ht="15" x14ac:dyDescent="0.25">
      <c r="A372" t="s">
        <v>136</v>
      </c>
      <c r="B372" s="8" t="s">
        <v>182</v>
      </c>
      <c r="C372">
        <v>901.13</v>
      </c>
      <c r="D372" s="8" t="s">
        <v>182</v>
      </c>
      <c r="E372" t="s">
        <v>121</v>
      </c>
      <c r="F372" t="s">
        <v>19</v>
      </c>
      <c r="G372" t="s">
        <v>153</v>
      </c>
      <c r="H372" s="8" t="s">
        <v>116</v>
      </c>
      <c r="I372" s="5">
        <v>44343</v>
      </c>
      <c r="J372" t="s">
        <v>23</v>
      </c>
      <c r="K372" t="s">
        <v>121</v>
      </c>
      <c r="L372" s="22">
        <v>2.6959E-2</v>
      </c>
      <c r="M372" s="8" t="s">
        <v>124</v>
      </c>
      <c r="N372" s="21" t="s">
        <v>127</v>
      </c>
      <c r="O372" s="8" t="s">
        <v>126</v>
      </c>
    </row>
    <row r="373" spans="1:15" ht="15" x14ac:dyDescent="0.25">
      <c r="A373" t="s">
        <v>139</v>
      </c>
      <c r="B373" s="8" t="s">
        <v>182</v>
      </c>
      <c r="C373">
        <v>901.13</v>
      </c>
      <c r="D373" s="8" t="s">
        <v>182</v>
      </c>
      <c r="E373" t="s">
        <v>121</v>
      </c>
      <c r="F373" t="s">
        <v>19</v>
      </c>
      <c r="G373" t="s">
        <v>161</v>
      </c>
      <c r="H373" s="8" t="s">
        <v>116</v>
      </c>
      <c r="I373" s="5">
        <v>44343</v>
      </c>
      <c r="J373" t="s">
        <v>23</v>
      </c>
      <c r="K373" t="s">
        <v>121</v>
      </c>
      <c r="L373" s="22">
        <v>7.6999999999999999E-2</v>
      </c>
      <c r="M373" s="8" t="s">
        <v>124</v>
      </c>
      <c r="N373" s="21" t="s">
        <v>127</v>
      </c>
      <c r="O373" s="8" t="s">
        <v>126</v>
      </c>
    </row>
    <row r="374" spans="1:15" ht="15" x14ac:dyDescent="0.25">
      <c r="A374" t="s">
        <v>136</v>
      </c>
      <c r="B374" s="8" t="s">
        <v>182</v>
      </c>
      <c r="C374">
        <v>901.13</v>
      </c>
      <c r="D374" s="8" t="s">
        <v>182</v>
      </c>
      <c r="E374" t="s">
        <v>121</v>
      </c>
      <c r="F374" t="s">
        <v>19</v>
      </c>
      <c r="G374" t="s">
        <v>162</v>
      </c>
      <c r="H374" s="8" t="s">
        <v>116</v>
      </c>
      <c r="I374" s="5">
        <v>44343</v>
      </c>
      <c r="J374" t="s">
        <v>23</v>
      </c>
      <c r="K374" t="s">
        <v>121</v>
      </c>
      <c r="L374" s="22">
        <v>8.0000000000000002E-3</v>
      </c>
      <c r="M374" s="8" t="s">
        <v>124</v>
      </c>
      <c r="N374" s="21" t="s">
        <v>127</v>
      </c>
      <c r="O374" s="8" t="s">
        <v>126</v>
      </c>
    </row>
    <row r="375" spans="1:15" ht="15" x14ac:dyDescent="0.25">
      <c r="A375" t="s">
        <v>136</v>
      </c>
      <c r="B375" s="8" t="s">
        <v>182</v>
      </c>
      <c r="C375">
        <v>901.13</v>
      </c>
      <c r="D375" s="8" t="s">
        <v>182</v>
      </c>
      <c r="E375" t="s">
        <v>121</v>
      </c>
      <c r="F375" t="s">
        <v>19</v>
      </c>
      <c r="G375" t="s">
        <v>175</v>
      </c>
      <c r="H375" s="8" t="s">
        <v>116</v>
      </c>
      <c r="I375" s="5">
        <v>44343</v>
      </c>
      <c r="J375" t="s">
        <v>119</v>
      </c>
      <c r="K375" t="s">
        <v>121</v>
      </c>
      <c r="L375" s="22" t="s">
        <v>58</v>
      </c>
      <c r="M375" s="8" t="s">
        <v>124</v>
      </c>
      <c r="N375" s="21" t="s">
        <v>127</v>
      </c>
    </row>
    <row r="376" spans="1:15" ht="15" x14ac:dyDescent="0.25">
      <c r="A376" t="s">
        <v>136</v>
      </c>
      <c r="B376" s="8" t="s">
        <v>182</v>
      </c>
      <c r="C376">
        <v>901.13</v>
      </c>
      <c r="D376" s="8" t="s">
        <v>182</v>
      </c>
      <c r="E376" t="s">
        <v>121</v>
      </c>
      <c r="F376" t="s">
        <v>19</v>
      </c>
      <c r="G376" t="s">
        <v>176</v>
      </c>
      <c r="H376" s="8" t="s">
        <v>116</v>
      </c>
      <c r="I376" s="5">
        <v>44343</v>
      </c>
      <c r="J376" t="s">
        <v>23</v>
      </c>
      <c r="K376" t="s">
        <v>121</v>
      </c>
      <c r="L376" s="22">
        <v>0.16647600000000001</v>
      </c>
      <c r="M376" s="8" t="s">
        <v>124</v>
      </c>
      <c r="N376" s="21" t="s">
        <v>127</v>
      </c>
      <c r="O376" s="8" t="s">
        <v>126</v>
      </c>
    </row>
    <row r="377" spans="1:15" ht="15" x14ac:dyDescent="0.25">
      <c r="A377" t="s">
        <v>136</v>
      </c>
      <c r="B377" s="8" t="s">
        <v>182</v>
      </c>
      <c r="C377">
        <v>901.13</v>
      </c>
      <c r="D377" s="8" t="s">
        <v>182</v>
      </c>
      <c r="E377" t="s">
        <v>113</v>
      </c>
      <c r="F377" t="s">
        <v>19</v>
      </c>
      <c r="G377" t="s">
        <v>180</v>
      </c>
      <c r="H377" s="8" t="s">
        <v>116</v>
      </c>
      <c r="I377" s="5">
        <v>44343</v>
      </c>
      <c r="J377" t="s">
        <v>119</v>
      </c>
      <c r="K377" t="s">
        <v>113</v>
      </c>
      <c r="L377" s="22" t="s">
        <v>58</v>
      </c>
      <c r="M377" s="8" t="s">
        <v>124</v>
      </c>
      <c r="N377" s="21" t="s">
        <v>127</v>
      </c>
    </row>
    <row r="378" spans="1:15" ht="15" x14ac:dyDescent="0.25">
      <c r="A378" t="s">
        <v>139</v>
      </c>
      <c r="B378" s="8" t="s">
        <v>182</v>
      </c>
      <c r="C378">
        <v>901.13</v>
      </c>
      <c r="D378" s="8" t="s">
        <v>182</v>
      </c>
      <c r="E378" t="s">
        <v>122</v>
      </c>
      <c r="F378" t="s">
        <v>19</v>
      </c>
      <c r="G378" t="s">
        <v>181</v>
      </c>
      <c r="H378" s="8" t="s">
        <v>116</v>
      </c>
      <c r="I378" s="5">
        <v>44343</v>
      </c>
      <c r="J378" t="s">
        <v>23</v>
      </c>
      <c r="K378" t="s">
        <v>122</v>
      </c>
      <c r="L378" s="22" t="s">
        <v>58</v>
      </c>
      <c r="M378" s="8" t="s">
        <v>124</v>
      </c>
      <c r="N378" s="21" t="s">
        <v>127</v>
      </c>
      <c r="O378" s="8" t="s">
        <v>126</v>
      </c>
    </row>
    <row r="379" spans="1:15" ht="15" x14ac:dyDescent="0.25">
      <c r="A379" t="s">
        <v>139</v>
      </c>
      <c r="B379" s="8" t="s">
        <v>182</v>
      </c>
      <c r="C379">
        <v>901.13</v>
      </c>
      <c r="D379" s="8" t="s">
        <v>182</v>
      </c>
      <c r="E379"/>
      <c r="F379" t="s">
        <v>19</v>
      </c>
      <c r="G379" t="s">
        <v>150</v>
      </c>
      <c r="H379" s="8" t="s">
        <v>116</v>
      </c>
      <c r="I379" s="5">
        <v>44392</v>
      </c>
      <c r="J379" t="s">
        <v>23</v>
      </c>
      <c r="K379" t="s">
        <v>121</v>
      </c>
      <c r="L379" s="22">
        <v>3.3085000000000003E-2</v>
      </c>
      <c r="M379" s="8" t="s">
        <v>124</v>
      </c>
      <c r="N379" s="21" t="s">
        <v>127</v>
      </c>
      <c r="O379" s="8" t="s">
        <v>126</v>
      </c>
    </row>
    <row r="380" spans="1:15" ht="15" x14ac:dyDescent="0.25">
      <c r="A380" t="s">
        <v>138</v>
      </c>
      <c r="B380" s="8" t="s">
        <v>182</v>
      </c>
      <c r="C380">
        <v>901.13</v>
      </c>
      <c r="D380" s="8" t="s">
        <v>182</v>
      </c>
      <c r="E380" t="s">
        <v>121</v>
      </c>
      <c r="F380" t="s">
        <v>19</v>
      </c>
      <c r="G380" t="s">
        <v>156</v>
      </c>
      <c r="H380" s="8" t="s">
        <v>116</v>
      </c>
      <c r="I380" s="5">
        <v>44392</v>
      </c>
      <c r="J380" t="s">
        <v>23</v>
      </c>
      <c r="K380" t="s">
        <v>121</v>
      </c>
      <c r="L380" s="22">
        <v>2.8799999999999999E-2</v>
      </c>
      <c r="M380" s="8" t="s">
        <v>124</v>
      </c>
      <c r="N380" s="21" t="s">
        <v>127</v>
      </c>
      <c r="O380" s="8" t="s">
        <v>126</v>
      </c>
    </row>
    <row r="381" spans="1:15" ht="15" x14ac:dyDescent="0.25">
      <c r="A381" t="s">
        <v>138</v>
      </c>
      <c r="B381" s="8" t="s">
        <v>182</v>
      </c>
      <c r="C381">
        <v>901.13</v>
      </c>
      <c r="D381" s="8" t="s">
        <v>182</v>
      </c>
      <c r="E381" t="s">
        <v>112</v>
      </c>
      <c r="F381" t="s">
        <v>19</v>
      </c>
      <c r="G381" t="s">
        <v>165</v>
      </c>
      <c r="H381" s="8" t="s">
        <v>116</v>
      </c>
      <c r="I381" s="5">
        <v>44392</v>
      </c>
      <c r="J381" t="s">
        <v>23</v>
      </c>
      <c r="K381" t="s">
        <v>112</v>
      </c>
      <c r="L381" s="22">
        <v>8.3333000000000004E-2</v>
      </c>
      <c r="M381" s="8" t="s">
        <v>124</v>
      </c>
      <c r="N381" s="21" t="s">
        <v>127</v>
      </c>
      <c r="O381" s="8" t="s">
        <v>126</v>
      </c>
    </row>
    <row r="382" spans="1:15" ht="15" x14ac:dyDescent="0.25">
      <c r="A382" t="s">
        <v>139</v>
      </c>
      <c r="B382" s="8" t="s">
        <v>182</v>
      </c>
      <c r="C382">
        <v>901.13</v>
      </c>
      <c r="D382" s="8" t="s">
        <v>182</v>
      </c>
      <c r="E382"/>
      <c r="F382" t="s">
        <v>19</v>
      </c>
      <c r="G382" t="s">
        <v>150</v>
      </c>
      <c r="H382" s="8" t="s">
        <v>116</v>
      </c>
      <c r="I382" s="5">
        <v>44396</v>
      </c>
      <c r="J382" t="s">
        <v>23</v>
      </c>
      <c r="K382" t="s">
        <v>121</v>
      </c>
      <c r="L382" s="22">
        <v>1.4999999999999999E-2</v>
      </c>
      <c r="M382" s="8" t="s">
        <v>124</v>
      </c>
      <c r="N382" s="21" t="s">
        <v>127</v>
      </c>
      <c r="O382" s="8" t="s">
        <v>125</v>
      </c>
    </row>
    <row r="383" spans="1:15" ht="15" x14ac:dyDescent="0.25">
      <c r="A383" t="s">
        <v>138</v>
      </c>
      <c r="B383" s="8" t="s">
        <v>182</v>
      </c>
      <c r="C383">
        <v>901.13</v>
      </c>
      <c r="D383" s="8" t="s">
        <v>182</v>
      </c>
      <c r="E383" t="s">
        <v>121</v>
      </c>
      <c r="F383" t="s">
        <v>19</v>
      </c>
      <c r="G383" t="s">
        <v>156</v>
      </c>
      <c r="H383" s="8" t="s">
        <v>116</v>
      </c>
      <c r="I383" s="5">
        <v>44396</v>
      </c>
      <c r="J383" t="s">
        <v>23</v>
      </c>
      <c r="K383" t="s">
        <v>121</v>
      </c>
      <c r="L383" s="22">
        <v>5.8909000000000003E-2</v>
      </c>
      <c r="M383" s="8" t="s">
        <v>124</v>
      </c>
      <c r="N383" s="21" t="s">
        <v>127</v>
      </c>
    </row>
    <row r="384" spans="1:15" ht="15" x14ac:dyDescent="0.25">
      <c r="A384" t="s">
        <v>138</v>
      </c>
      <c r="B384" s="8" t="s">
        <v>182</v>
      </c>
      <c r="C384">
        <v>901.13</v>
      </c>
      <c r="D384" s="8" t="s">
        <v>182</v>
      </c>
      <c r="E384" t="s">
        <v>112</v>
      </c>
      <c r="F384" t="s">
        <v>19</v>
      </c>
      <c r="G384" t="s">
        <v>165</v>
      </c>
      <c r="H384" s="8" t="s">
        <v>116</v>
      </c>
      <c r="I384" s="5">
        <v>44396</v>
      </c>
      <c r="J384" t="s">
        <v>23</v>
      </c>
      <c r="K384" t="s">
        <v>112</v>
      </c>
      <c r="L384" s="22">
        <v>0.14000000000000001</v>
      </c>
      <c r="M384" s="8" t="s">
        <v>124</v>
      </c>
      <c r="N384" s="21" t="s">
        <v>127</v>
      </c>
      <c r="O384" s="8" t="s">
        <v>126</v>
      </c>
    </row>
    <row r="385" spans="1:15" ht="15" x14ac:dyDescent="0.25">
      <c r="A385" t="s">
        <v>137</v>
      </c>
      <c r="B385" s="8" t="s">
        <v>182</v>
      </c>
      <c r="C385">
        <v>901.13</v>
      </c>
      <c r="D385" s="8" t="s">
        <v>182</v>
      </c>
      <c r="E385" t="s">
        <v>121</v>
      </c>
      <c r="F385" t="s">
        <v>19</v>
      </c>
      <c r="G385" t="s">
        <v>142</v>
      </c>
      <c r="H385" s="8" t="s">
        <v>116</v>
      </c>
      <c r="I385" s="5">
        <v>44397</v>
      </c>
      <c r="J385" t="s">
        <v>23</v>
      </c>
      <c r="K385" t="s">
        <v>121</v>
      </c>
      <c r="L385" s="22">
        <v>1.2999999999999999E-2</v>
      </c>
      <c r="M385" s="8" t="s">
        <v>124</v>
      </c>
      <c r="N385" s="21" t="s">
        <v>127</v>
      </c>
      <c r="O385" s="8" t="s">
        <v>125</v>
      </c>
    </row>
    <row r="386" spans="1:15" ht="15" x14ac:dyDescent="0.25">
      <c r="A386" t="s">
        <v>136</v>
      </c>
      <c r="B386" s="8" t="s">
        <v>182</v>
      </c>
      <c r="C386">
        <v>901.13</v>
      </c>
      <c r="D386" s="8" t="s">
        <v>182</v>
      </c>
      <c r="E386" t="s">
        <v>113</v>
      </c>
      <c r="F386" t="s">
        <v>19</v>
      </c>
      <c r="G386" t="s">
        <v>144</v>
      </c>
      <c r="H386" s="8" t="s">
        <v>116</v>
      </c>
      <c r="I386" s="5">
        <v>44397</v>
      </c>
      <c r="J386" t="s">
        <v>119</v>
      </c>
      <c r="K386" t="s">
        <v>113</v>
      </c>
      <c r="L386" s="22" t="s">
        <v>58</v>
      </c>
      <c r="M386" s="8" t="s">
        <v>124</v>
      </c>
      <c r="N386" s="21" t="s">
        <v>127</v>
      </c>
    </row>
    <row r="387" spans="1:15" ht="15" x14ac:dyDescent="0.25">
      <c r="A387" t="s">
        <v>137</v>
      </c>
      <c r="B387" s="8" t="s">
        <v>182</v>
      </c>
      <c r="C387">
        <v>901.13</v>
      </c>
      <c r="D387" s="8" t="s">
        <v>182</v>
      </c>
      <c r="E387" t="s">
        <v>121</v>
      </c>
      <c r="F387" t="s">
        <v>19</v>
      </c>
      <c r="G387" t="s">
        <v>170</v>
      </c>
      <c r="H387" s="8" t="s">
        <v>116</v>
      </c>
      <c r="I387" s="5">
        <v>44397</v>
      </c>
      <c r="J387" t="s">
        <v>23</v>
      </c>
      <c r="K387" t="s">
        <v>121</v>
      </c>
      <c r="L387" s="22">
        <v>5.0000000000000001E-3</v>
      </c>
      <c r="M387" s="8" t="s">
        <v>124</v>
      </c>
      <c r="N387" s="21" t="s">
        <v>127</v>
      </c>
      <c r="O387" s="8" t="s">
        <v>125</v>
      </c>
    </row>
    <row r="388" spans="1:15" ht="15" x14ac:dyDescent="0.25">
      <c r="A388" t="s">
        <v>139</v>
      </c>
      <c r="B388" s="8" t="s">
        <v>182</v>
      </c>
      <c r="C388">
        <v>901.13</v>
      </c>
      <c r="D388" s="8" t="s">
        <v>182</v>
      </c>
      <c r="E388"/>
      <c r="F388" t="s">
        <v>19</v>
      </c>
      <c r="G388" t="s">
        <v>155</v>
      </c>
      <c r="H388" s="8" t="s">
        <v>116</v>
      </c>
      <c r="I388" s="5">
        <v>44405</v>
      </c>
      <c r="J388" t="s">
        <v>23</v>
      </c>
      <c r="K388" t="s">
        <v>58</v>
      </c>
      <c r="L388" s="22">
        <v>0.61323300000000003</v>
      </c>
      <c r="M388" s="8" t="s">
        <v>124</v>
      </c>
      <c r="N388" s="21" t="s">
        <v>127</v>
      </c>
      <c r="O388" s="8" t="s">
        <v>126</v>
      </c>
    </row>
    <row r="389" spans="1:15" ht="15" x14ac:dyDescent="0.25">
      <c r="A389" t="s">
        <v>111</v>
      </c>
      <c r="B389" s="8" t="s">
        <v>182</v>
      </c>
      <c r="C389">
        <v>901.13</v>
      </c>
      <c r="D389" s="8" t="s">
        <v>182</v>
      </c>
      <c r="E389" t="s">
        <v>113</v>
      </c>
      <c r="F389" t="s">
        <v>19</v>
      </c>
      <c r="G389" t="s">
        <v>168</v>
      </c>
      <c r="H389" s="8" t="s">
        <v>116</v>
      </c>
      <c r="I389" s="5">
        <v>44405</v>
      </c>
      <c r="J389" t="s">
        <v>114</v>
      </c>
      <c r="K389" t="s">
        <v>113</v>
      </c>
      <c r="L389" s="22" t="s">
        <v>58</v>
      </c>
      <c r="M389" s="8" t="s">
        <v>124</v>
      </c>
      <c r="N389" s="21" t="s">
        <v>127</v>
      </c>
    </row>
    <row r="390" spans="1:15" ht="15" x14ac:dyDescent="0.25">
      <c r="A390" t="s">
        <v>111</v>
      </c>
      <c r="B390" s="8" t="s">
        <v>182</v>
      </c>
      <c r="C390">
        <v>901.13</v>
      </c>
      <c r="D390" s="8" t="s">
        <v>182</v>
      </c>
      <c r="E390" t="s">
        <v>58</v>
      </c>
      <c r="F390" t="s">
        <v>19</v>
      </c>
      <c r="G390" t="s">
        <v>169</v>
      </c>
      <c r="H390" s="8" t="s">
        <v>116</v>
      </c>
      <c r="I390" s="5">
        <v>44405</v>
      </c>
      <c r="J390" t="s">
        <v>119</v>
      </c>
      <c r="K390" t="s">
        <v>58</v>
      </c>
      <c r="L390" s="22" t="s">
        <v>58</v>
      </c>
      <c r="M390" s="8" t="s">
        <v>124</v>
      </c>
      <c r="N390" s="21" t="s">
        <v>127</v>
      </c>
    </row>
    <row r="391" spans="1:15" ht="15" x14ac:dyDescent="0.25">
      <c r="A391" t="s">
        <v>139</v>
      </c>
      <c r="B391" s="8" t="s">
        <v>182</v>
      </c>
      <c r="C391">
        <v>901.13</v>
      </c>
      <c r="D391" s="8" t="s">
        <v>182</v>
      </c>
      <c r="E391"/>
      <c r="F391" t="s">
        <v>19</v>
      </c>
      <c r="G391" t="s">
        <v>174</v>
      </c>
      <c r="H391" s="8" t="s">
        <v>116</v>
      </c>
      <c r="I391" s="5">
        <v>44405</v>
      </c>
      <c r="J391" t="s">
        <v>119</v>
      </c>
      <c r="K391" t="s">
        <v>58</v>
      </c>
      <c r="L391" s="22" t="s">
        <v>58</v>
      </c>
      <c r="M391" s="8" t="s">
        <v>124</v>
      </c>
      <c r="N391" s="21" t="s">
        <v>127</v>
      </c>
    </row>
    <row r="392" spans="1:15" ht="15" x14ac:dyDescent="0.25">
      <c r="A392" t="s">
        <v>139</v>
      </c>
      <c r="B392" s="8" t="s">
        <v>182</v>
      </c>
      <c r="C392">
        <v>901.13</v>
      </c>
      <c r="D392" s="8" t="s">
        <v>182</v>
      </c>
      <c r="E392"/>
      <c r="F392" t="s">
        <v>19</v>
      </c>
      <c r="G392" t="s">
        <v>150</v>
      </c>
      <c r="H392" s="8" t="s">
        <v>116</v>
      </c>
      <c r="I392" s="5">
        <v>44410</v>
      </c>
      <c r="J392" t="s">
        <v>23</v>
      </c>
      <c r="K392" t="s">
        <v>121</v>
      </c>
      <c r="L392" s="22">
        <v>1.4999999999999999E-2</v>
      </c>
      <c r="M392" s="8" t="s">
        <v>124</v>
      </c>
      <c r="N392" s="21" t="s">
        <v>127</v>
      </c>
      <c r="O392" s="8" t="s">
        <v>125</v>
      </c>
    </row>
    <row r="393" spans="1:15" ht="15" x14ac:dyDescent="0.25">
      <c r="A393" t="s">
        <v>138</v>
      </c>
      <c r="B393" s="8" t="s">
        <v>182</v>
      </c>
      <c r="C393">
        <v>901.13</v>
      </c>
      <c r="D393" s="8" t="s">
        <v>182</v>
      </c>
      <c r="E393" t="s">
        <v>121</v>
      </c>
      <c r="F393" t="s">
        <v>19</v>
      </c>
      <c r="G393" t="s">
        <v>156</v>
      </c>
      <c r="H393" s="8" t="s">
        <v>116</v>
      </c>
      <c r="I393" s="5">
        <v>44410</v>
      </c>
      <c r="J393" t="s">
        <v>23</v>
      </c>
      <c r="K393" t="s">
        <v>121</v>
      </c>
      <c r="L393" s="22">
        <v>5.0000000000000001E-3</v>
      </c>
      <c r="M393" s="8" t="s">
        <v>124</v>
      </c>
      <c r="N393" s="21" t="s">
        <v>127</v>
      </c>
      <c r="O393" s="8" t="s">
        <v>125</v>
      </c>
    </row>
    <row r="394" spans="1:15" ht="15" x14ac:dyDescent="0.25">
      <c r="A394" t="s">
        <v>138</v>
      </c>
      <c r="B394" s="8" t="s">
        <v>182</v>
      </c>
      <c r="C394">
        <v>901.13</v>
      </c>
      <c r="D394" s="8" t="s">
        <v>182</v>
      </c>
      <c r="E394" t="s">
        <v>112</v>
      </c>
      <c r="F394" t="s">
        <v>19</v>
      </c>
      <c r="G394" t="s">
        <v>165</v>
      </c>
      <c r="H394" s="8" t="s">
        <v>116</v>
      </c>
      <c r="I394" s="5">
        <v>44410</v>
      </c>
      <c r="J394" t="s">
        <v>23</v>
      </c>
      <c r="K394" t="s">
        <v>112</v>
      </c>
      <c r="L394" s="22">
        <v>2.9000000000000001E-2</v>
      </c>
      <c r="M394" s="8" t="s">
        <v>124</v>
      </c>
      <c r="N394" s="21" t="s">
        <v>127</v>
      </c>
      <c r="O394" s="8" t="s">
        <v>125</v>
      </c>
    </row>
    <row r="395" spans="1:15" ht="15" x14ac:dyDescent="0.25">
      <c r="A395" t="s">
        <v>136</v>
      </c>
      <c r="B395" s="8" t="s">
        <v>182</v>
      </c>
      <c r="C395">
        <v>901.13</v>
      </c>
      <c r="D395" s="8" t="s">
        <v>182</v>
      </c>
      <c r="E395" t="s">
        <v>121</v>
      </c>
      <c r="F395" t="s">
        <v>19</v>
      </c>
      <c r="G395" t="s">
        <v>160</v>
      </c>
      <c r="H395" s="8" t="s">
        <v>116</v>
      </c>
      <c r="I395" s="5">
        <v>44413</v>
      </c>
      <c r="J395" t="s">
        <v>119</v>
      </c>
      <c r="K395" t="s">
        <v>121</v>
      </c>
      <c r="L395" s="22" t="s">
        <v>58</v>
      </c>
      <c r="M395" s="8" t="s">
        <v>124</v>
      </c>
      <c r="N395" s="21" t="s">
        <v>127</v>
      </c>
    </row>
    <row r="396" spans="1:15" ht="15" x14ac:dyDescent="0.25">
      <c r="A396" t="s">
        <v>138</v>
      </c>
      <c r="B396" s="8" t="s">
        <v>182</v>
      </c>
      <c r="C396">
        <v>901.13</v>
      </c>
      <c r="D396" s="8" t="s">
        <v>182</v>
      </c>
      <c r="E396" t="s">
        <v>121</v>
      </c>
      <c r="F396" t="s">
        <v>19</v>
      </c>
      <c r="G396" t="s">
        <v>164</v>
      </c>
      <c r="H396" s="8" t="s">
        <v>116</v>
      </c>
      <c r="I396" s="5">
        <v>44418</v>
      </c>
      <c r="J396" t="s">
        <v>23</v>
      </c>
      <c r="K396" t="s">
        <v>121</v>
      </c>
      <c r="L396" s="22">
        <v>0</v>
      </c>
      <c r="M396" s="8" t="s">
        <v>124</v>
      </c>
      <c r="N396" s="21" t="s">
        <v>127</v>
      </c>
      <c r="O396" s="8" t="s">
        <v>125</v>
      </c>
    </row>
    <row r="397" spans="1:15" ht="15" x14ac:dyDescent="0.25">
      <c r="A397" t="s">
        <v>139</v>
      </c>
      <c r="B397" s="8" t="s">
        <v>182</v>
      </c>
      <c r="C397">
        <v>901.13</v>
      </c>
      <c r="D397" s="8" t="s">
        <v>182</v>
      </c>
      <c r="E397" t="s">
        <v>121</v>
      </c>
      <c r="F397" t="s">
        <v>19</v>
      </c>
      <c r="G397" t="s">
        <v>166</v>
      </c>
      <c r="H397" s="8" t="s">
        <v>116</v>
      </c>
      <c r="I397" s="5">
        <v>44418</v>
      </c>
      <c r="J397" t="s">
        <v>23</v>
      </c>
      <c r="K397" t="s">
        <v>121</v>
      </c>
      <c r="L397" s="22">
        <v>1.2999999999999999E-2</v>
      </c>
      <c r="M397" s="8" t="s">
        <v>124</v>
      </c>
      <c r="N397" s="21" t="s">
        <v>127</v>
      </c>
      <c r="O397" s="8" t="s">
        <v>125</v>
      </c>
    </row>
    <row r="398" spans="1:15" ht="15" x14ac:dyDescent="0.25">
      <c r="A398" t="s">
        <v>138</v>
      </c>
      <c r="B398" s="8" t="s">
        <v>182</v>
      </c>
      <c r="C398">
        <v>901.13</v>
      </c>
      <c r="D398" s="8" t="s">
        <v>182</v>
      </c>
      <c r="E398" t="s">
        <v>121</v>
      </c>
      <c r="F398" t="s">
        <v>19</v>
      </c>
      <c r="G398" t="s">
        <v>167</v>
      </c>
      <c r="H398" s="8" t="s">
        <v>116</v>
      </c>
      <c r="I398" s="5">
        <v>44418</v>
      </c>
      <c r="J398" t="s">
        <v>23</v>
      </c>
      <c r="K398" t="s">
        <v>121</v>
      </c>
      <c r="L398" s="22">
        <v>5.5999999999999999E-3</v>
      </c>
      <c r="M398" s="8" t="s">
        <v>124</v>
      </c>
      <c r="N398" s="21" t="s">
        <v>127</v>
      </c>
      <c r="O398" s="8" t="s">
        <v>126</v>
      </c>
    </row>
    <row r="399" spans="1:15" ht="15" x14ac:dyDescent="0.25">
      <c r="A399" t="s">
        <v>138</v>
      </c>
      <c r="B399" s="8" t="s">
        <v>182</v>
      </c>
      <c r="C399">
        <v>901.13</v>
      </c>
      <c r="D399" s="8" t="s">
        <v>182</v>
      </c>
      <c r="E399" t="s">
        <v>121</v>
      </c>
      <c r="F399" t="s">
        <v>19</v>
      </c>
      <c r="G399" t="s">
        <v>173</v>
      </c>
      <c r="H399" s="8" t="s">
        <v>116</v>
      </c>
      <c r="I399" s="5">
        <v>44418</v>
      </c>
      <c r="J399" t="s">
        <v>23</v>
      </c>
      <c r="K399" t="s">
        <v>121</v>
      </c>
      <c r="L399" s="22">
        <v>2.8736999999999999E-2</v>
      </c>
      <c r="M399" s="8" t="s">
        <v>124</v>
      </c>
      <c r="N399" s="21" t="s">
        <v>127</v>
      </c>
      <c r="O399" s="8" t="s">
        <v>126</v>
      </c>
    </row>
    <row r="400" spans="1:15" ht="15" x14ac:dyDescent="0.25">
      <c r="A400" t="s">
        <v>139</v>
      </c>
      <c r="B400" s="8" t="s">
        <v>182</v>
      </c>
      <c r="C400">
        <v>901.13</v>
      </c>
      <c r="D400" s="8" t="s">
        <v>182</v>
      </c>
      <c r="E400"/>
      <c r="F400" t="s">
        <v>19</v>
      </c>
      <c r="G400" t="s">
        <v>150</v>
      </c>
      <c r="H400" s="8" t="s">
        <v>116</v>
      </c>
      <c r="I400" s="5">
        <v>44419</v>
      </c>
      <c r="J400" t="s">
        <v>23</v>
      </c>
      <c r="K400" t="s">
        <v>121</v>
      </c>
      <c r="L400" s="22">
        <v>0.06</v>
      </c>
      <c r="M400" s="8" t="s">
        <v>124</v>
      </c>
      <c r="N400" s="21" t="s">
        <v>127</v>
      </c>
      <c r="O400" s="8" t="s">
        <v>126</v>
      </c>
    </row>
    <row r="401" spans="1:15" ht="15" x14ac:dyDescent="0.25">
      <c r="A401" t="s">
        <v>138</v>
      </c>
      <c r="B401" s="8" t="s">
        <v>182</v>
      </c>
      <c r="C401">
        <v>901.13</v>
      </c>
      <c r="D401" s="8" t="s">
        <v>182</v>
      </c>
      <c r="E401" t="s">
        <v>121</v>
      </c>
      <c r="F401" t="s">
        <v>19</v>
      </c>
      <c r="G401" t="s">
        <v>156</v>
      </c>
      <c r="H401" s="8" t="s">
        <v>116</v>
      </c>
      <c r="I401" s="5">
        <v>44419</v>
      </c>
      <c r="J401" t="s">
        <v>23</v>
      </c>
      <c r="K401" t="s">
        <v>121</v>
      </c>
      <c r="L401" s="22">
        <v>0.05</v>
      </c>
      <c r="M401" s="8" t="s">
        <v>124</v>
      </c>
      <c r="N401" s="21" t="s">
        <v>127</v>
      </c>
      <c r="O401" s="8" t="s">
        <v>126</v>
      </c>
    </row>
    <row r="402" spans="1:15" ht="15" x14ac:dyDescent="0.25">
      <c r="A402" t="s">
        <v>138</v>
      </c>
      <c r="B402" s="8" t="s">
        <v>182</v>
      </c>
      <c r="C402">
        <v>901.13</v>
      </c>
      <c r="D402" s="8" t="s">
        <v>182</v>
      </c>
      <c r="E402" t="s">
        <v>112</v>
      </c>
      <c r="F402" t="s">
        <v>19</v>
      </c>
      <c r="G402" t="s">
        <v>165</v>
      </c>
      <c r="H402" s="8" t="s">
        <v>116</v>
      </c>
      <c r="I402" s="5">
        <v>44419</v>
      </c>
      <c r="J402" t="s">
        <v>23</v>
      </c>
      <c r="K402" t="s">
        <v>112</v>
      </c>
      <c r="L402" s="22">
        <v>0.111628</v>
      </c>
      <c r="M402" s="8" t="s">
        <v>124</v>
      </c>
      <c r="N402" s="21" t="s">
        <v>127</v>
      </c>
      <c r="O402" s="8" t="s">
        <v>126</v>
      </c>
    </row>
    <row r="403" spans="1:15" ht="15" x14ac:dyDescent="0.25">
      <c r="A403" t="s">
        <v>139</v>
      </c>
      <c r="B403" s="8" t="s">
        <v>182</v>
      </c>
      <c r="C403">
        <v>901.13</v>
      </c>
      <c r="D403" s="8" t="s">
        <v>182</v>
      </c>
      <c r="E403"/>
      <c r="F403" t="s">
        <v>19</v>
      </c>
      <c r="G403" t="s">
        <v>150</v>
      </c>
      <c r="H403" s="8" t="s">
        <v>116</v>
      </c>
      <c r="I403" s="5">
        <v>44425</v>
      </c>
      <c r="J403" t="s">
        <v>23</v>
      </c>
      <c r="K403" t="s">
        <v>121</v>
      </c>
      <c r="L403" s="22">
        <v>2.8549999999999999E-2</v>
      </c>
      <c r="M403" s="8" t="s">
        <v>124</v>
      </c>
      <c r="N403" s="21" t="s">
        <v>127</v>
      </c>
      <c r="O403" s="8" t="s">
        <v>126</v>
      </c>
    </row>
    <row r="404" spans="1:15" ht="15" x14ac:dyDescent="0.25">
      <c r="A404" t="s">
        <v>138</v>
      </c>
      <c r="B404" s="8" t="s">
        <v>182</v>
      </c>
      <c r="C404">
        <v>901.13</v>
      </c>
      <c r="D404" s="8" t="s">
        <v>182</v>
      </c>
      <c r="E404" t="s">
        <v>121</v>
      </c>
      <c r="F404" t="s">
        <v>19</v>
      </c>
      <c r="G404" t="s">
        <v>156</v>
      </c>
      <c r="H404" s="8" t="s">
        <v>116</v>
      </c>
      <c r="I404" s="5">
        <v>44425</v>
      </c>
      <c r="J404" t="s">
        <v>23</v>
      </c>
      <c r="K404" t="s">
        <v>121</v>
      </c>
      <c r="L404" s="22">
        <v>0.13146099999999999</v>
      </c>
      <c r="M404" s="8" t="s">
        <v>124</v>
      </c>
      <c r="N404" s="21" t="s">
        <v>127</v>
      </c>
      <c r="O404" s="8" t="s">
        <v>126</v>
      </c>
    </row>
    <row r="405" spans="1:15" ht="15" x14ac:dyDescent="0.25">
      <c r="A405" t="s">
        <v>138</v>
      </c>
      <c r="B405" s="8" t="s">
        <v>182</v>
      </c>
      <c r="C405">
        <v>901.13</v>
      </c>
      <c r="D405" s="8" t="s">
        <v>182</v>
      </c>
      <c r="E405" t="s">
        <v>112</v>
      </c>
      <c r="F405" t="s">
        <v>19</v>
      </c>
      <c r="G405" t="s">
        <v>165</v>
      </c>
      <c r="H405" s="8" t="s">
        <v>116</v>
      </c>
      <c r="I405" s="5">
        <v>44425</v>
      </c>
      <c r="J405" t="s">
        <v>23</v>
      </c>
      <c r="K405" t="s">
        <v>112</v>
      </c>
      <c r="L405" s="22">
        <v>8.3607000000000001E-2</v>
      </c>
      <c r="M405" s="8" t="s">
        <v>124</v>
      </c>
      <c r="N405" s="21" t="s">
        <v>127</v>
      </c>
      <c r="O405" s="8" t="s">
        <v>126</v>
      </c>
    </row>
    <row r="406" spans="1:15" ht="15" x14ac:dyDescent="0.25">
      <c r="A406" t="s">
        <v>140</v>
      </c>
      <c r="B406" s="8" t="s">
        <v>182</v>
      </c>
      <c r="C406">
        <v>901.13</v>
      </c>
      <c r="D406" s="8" t="s">
        <v>182</v>
      </c>
      <c r="E406" t="s">
        <v>113</v>
      </c>
      <c r="F406" t="s">
        <v>19</v>
      </c>
      <c r="G406" t="s">
        <v>177</v>
      </c>
      <c r="H406" s="8" t="s">
        <v>116</v>
      </c>
      <c r="I406" s="5">
        <v>44439</v>
      </c>
      <c r="J406" t="s">
        <v>119</v>
      </c>
      <c r="K406" t="s">
        <v>113</v>
      </c>
      <c r="L406" s="22" t="s">
        <v>58</v>
      </c>
      <c r="M406" s="8" t="s">
        <v>124</v>
      </c>
      <c r="N406" s="21" t="s">
        <v>127</v>
      </c>
    </row>
    <row r="407" spans="1:15" ht="15" x14ac:dyDescent="0.25">
      <c r="A407" t="s">
        <v>136</v>
      </c>
      <c r="B407" s="8" t="s">
        <v>182</v>
      </c>
      <c r="C407">
        <v>901.13</v>
      </c>
      <c r="D407" s="8" t="s">
        <v>182</v>
      </c>
      <c r="E407" t="s">
        <v>121</v>
      </c>
      <c r="F407" t="s">
        <v>19</v>
      </c>
      <c r="G407" t="s">
        <v>141</v>
      </c>
      <c r="H407" s="8" t="s">
        <v>116</v>
      </c>
      <c r="I407" s="5">
        <v>44446</v>
      </c>
      <c r="J407" t="s">
        <v>23</v>
      </c>
      <c r="K407" t="s">
        <v>121</v>
      </c>
      <c r="L407" s="22">
        <v>1.2800000000000001E-3</v>
      </c>
      <c r="M407" s="8" t="s">
        <v>124</v>
      </c>
      <c r="N407" s="21" t="s">
        <v>127</v>
      </c>
      <c r="O407" s="8" t="s">
        <v>126</v>
      </c>
    </row>
    <row r="408" spans="1:15" ht="15" x14ac:dyDescent="0.25">
      <c r="A408" t="s">
        <v>138</v>
      </c>
      <c r="B408" s="8" t="s">
        <v>182</v>
      </c>
      <c r="C408">
        <v>901.13</v>
      </c>
      <c r="D408" s="8" t="s">
        <v>182</v>
      </c>
      <c r="E408" t="s">
        <v>121</v>
      </c>
      <c r="F408" t="s">
        <v>19</v>
      </c>
      <c r="G408" t="s">
        <v>145</v>
      </c>
      <c r="H408" s="8" t="s">
        <v>116</v>
      </c>
      <c r="I408" s="5">
        <v>44446</v>
      </c>
      <c r="J408" t="s">
        <v>23</v>
      </c>
      <c r="K408" t="s">
        <v>121</v>
      </c>
      <c r="L408" s="22">
        <v>0.09</v>
      </c>
      <c r="M408" s="8" t="s">
        <v>124</v>
      </c>
      <c r="N408" s="21" t="s">
        <v>127</v>
      </c>
    </row>
    <row r="409" spans="1:15" ht="15" x14ac:dyDescent="0.25">
      <c r="A409" t="s">
        <v>138</v>
      </c>
      <c r="B409" s="8" t="s">
        <v>182</v>
      </c>
      <c r="C409">
        <v>901.13</v>
      </c>
      <c r="D409" s="8" t="s">
        <v>182</v>
      </c>
      <c r="E409" t="s">
        <v>112</v>
      </c>
      <c r="F409" t="s">
        <v>19</v>
      </c>
      <c r="G409" t="s">
        <v>146</v>
      </c>
      <c r="H409" s="8" t="s">
        <v>116</v>
      </c>
      <c r="I409" s="5">
        <v>44446</v>
      </c>
      <c r="J409" t="s">
        <v>23</v>
      </c>
      <c r="K409" t="s">
        <v>112</v>
      </c>
      <c r="L409" s="22">
        <v>0.126</v>
      </c>
      <c r="M409" s="8" t="s">
        <v>124</v>
      </c>
      <c r="N409" s="21" t="s">
        <v>127</v>
      </c>
      <c r="O409" s="8" t="s">
        <v>126</v>
      </c>
    </row>
    <row r="410" spans="1:15" ht="15" x14ac:dyDescent="0.25">
      <c r="A410" t="s">
        <v>136</v>
      </c>
      <c r="B410" s="8" t="s">
        <v>182</v>
      </c>
      <c r="C410">
        <v>901.13</v>
      </c>
      <c r="D410" s="8" t="s">
        <v>182</v>
      </c>
      <c r="E410" t="s">
        <v>113</v>
      </c>
      <c r="F410" t="s">
        <v>19</v>
      </c>
      <c r="G410" t="s">
        <v>152</v>
      </c>
      <c r="H410" s="8" t="s">
        <v>116</v>
      </c>
      <c r="I410" s="5">
        <v>44446</v>
      </c>
      <c r="J410" t="s">
        <v>114</v>
      </c>
      <c r="K410" t="s">
        <v>113</v>
      </c>
      <c r="L410" s="22" t="s">
        <v>58</v>
      </c>
      <c r="M410" s="8" t="s">
        <v>124</v>
      </c>
      <c r="N410" s="21" t="s">
        <v>127</v>
      </c>
    </row>
    <row r="411" spans="1:15" ht="15" x14ac:dyDescent="0.25">
      <c r="A411" t="s">
        <v>136</v>
      </c>
      <c r="B411" s="8" t="s">
        <v>182</v>
      </c>
      <c r="C411">
        <v>901.13</v>
      </c>
      <c r="D411" s="8" t="s">
        <v>182</v>
      </c>
      <c r="E411" t="s">
        <v>121</v>
      </c>
      <c r="F411" t="s">
        <v>19</v>
      </c>
      <c r="G411" t="s">
        <v>153</v>
      </c>
      <c r="H411" s="8" t="s">
        <v>116</v>
      </c>
      <c r="I411" s="5">
        <v>44446</v>
      </c>
      <c r="J411" t="s">
        <v>23</v>
      </c>
      <c r="K411" t="s">
        <v>121</v>
      </c>
      <c r="L411" s="22">
        <v>1.2999999999999999E-2</v>
      </c>
      <c r="M411" s="8" t="s">
        <v>124</v>
      </c>
      <c r="N411" s="21" t="s">
        <v>127</v>
      </c>
      <c r="O411" s="8" t="s">
        <v>126</v>
      </c>
    </row>
    <row r="412" spans="1:15" ht="15" x14ac:dyDescent="0.25">
      <c r="A412" t="s">
        <v>136</v>
      </c>
      <c r="B412" s="8" t="s">
        <v>182</v>
      </c>
      <c r="C412">
        <v>901.13</v>
      </c>
      <c r="D412" s="8" t="s">
        <v>182</v>
      </c>
      <c r="E412" t="s">
        <v>121</v>
      </c>
      <c r="F412" t="s">
        <v>19</v>
      </c>
      <c r="G412" t="s">
        <v>162</v>
      </c>
      <c r="H412" s="8" t="s">
        <v>116</v>
      </c>
      <c r="I412" s="5">
        <v>44446</v>
      </c>
      <c r="J412" t="s">
        <v>23</v>
      </c>
      <c r="K412" t="s">
        <v>121</v>
      </c>
      <c r="L412" s="22">
        <v>5.0000000000000001E-3</v>
      </c>
      <c r="M412" s="8" t="s">
        <v>124</v>
      </c>
      <c r="N412" s="21" t="s">
        <v>127</v>
      </c>
      <c r="O412" s="8" t="s">
        <v>126</v>
      </c>
    </row>
    <row r="413" spans="1:15" ht="15" x14ac:dyDescent="0.25">
      <c r="A413" t="s">
        <v>138</v>
      </c>
      <c r="B413" s="8" t="s">
        <v>182</v>
      </c>
      <c r="C413">
        <v>901.13</v>
      </c>
      <c r="D413" s="8" t="s">
        <v>182</v>
      </c>
      <c r="E413" t="s">
        <v>112</v>
      </c>
      <c r="F413" t="s">
        <v>19</v>
      </c>
      <c r="G413" t="s">
        <v>165</v>
      </c>
      <c r="H413" s="8" t="s">
        <v>116</v>
      </c>
      <c r="I413" s="5">
        <v>44446</v>
      </c>
      <c r="J413" t="s">
        <v>23</v>
      </c>
      <c r="K413" t="s">
        <v>112</v>
      </c>
      <c r="L413" s="22">
        <v>0.08</v>
      </c>
      <c r="M413" s="8" t="s">
        <v>124</v>
      </c>
      <c r="N413" s="21" t="s">
        <v>127</v>
      </c>
    </row>
    <row r="414" spans="1:15" ht="15" x14ac:dyDescent="0.25">
      <c r="A414" t="s">
        <v>136</v>
      </c>
      <c r="B414" s="8" t="s">
        <v>182</v>
      </c>
      <c r="C414">
        <v>901.13</v>
      </c>
      <c r="D414" s="8" t="s">
        <v>182</v>
      </c>
      <c r="E414" t="s">
        <v>121</v>
      </c>
      <c r="F414" t="s">
        <v>19</v>
      </c>
      <c r="G414" t="s">
        <v>175</v>
      </c>
      <c r="H414" s="8" t="s">
        <v>116</v>
      </c>
      <c r="I414" s="5">
        <v>44446</v>
      </c>
      <c r="J414" t="s">
        <v>23</v>
      </c>
      <c r="K414" t="s">
        <v>121</v>
      </c>
      <c r="L414" s="22">
        <v>9.7710000000000002E-3</v>
      </c>
      <c r="M414" s="8" t="s">
        <v>124</v>
      </c>
      <c r="N414" s="21" t="s">
        <v>127</v>
      </c>
      <c r="O414" s="8" t="s">
        <v>126</v>
      </c>
    </row>
    <row r="415" spans="1:15" ht="15" x14ac:dyDescent="0.25">
      <c r="A415" t="s">
        <v>136</v>
      </c>
      <c r="B415" s="8" t="s">
        <v>182</v>
      </c>
      <c r="C415">
        <v>901.13</v>
      </c>
      <c r="D415" s="8" t="s">
        <v>182</v>
      </c>
      <c r="E415" t="s">
        <v>121</v>
      </c>
      <c r="F415" t="s">
        <v>19</v>
      </c>
      <c r="G415" t="s">
        <v>176</v>
      </c>
      <c r="H415" s="8" t="s">
        <v>116</v>
      </c>
      <c r="I415" s="5">
        <v>44446</v>
      </c>
      <c r="J415" t="s">
        <v>23</v>
      </c>
      <c r="K415" t="s">
        <v>121</v>
      </c>
      <c r="L415" s="22">
        <v>0.22</v>
      </c>
      <c r="M415" s="8" t="s">
        <v>124</v>
      </c>
      <c r="N415" s="21" t="s">
        <v>127</v>
      </c>
      <c r="O415" s="8" t="s">
        <v>126</v>
      </c>
    </row>
    <row r="416" spans="1:15" ht="15" x14ac:dyDescent="0.25">
      <c r="A416" t="s">
        <v>136</v>
      </c>
      <c r="B416" s="8" t="s">
        <v>182</v>
      </c>
      <c r="C416">
        <v>901.13</v>
      </c>
      <c r="D416" s="8" t="s">
        <v>182</v>
      </c>
      <c r="E416" t="s">
        <v>121</v>
      </c>
      <c r="F416" t="s">
        <v>19</v>
      </c>
      <c r="G416" t="s">
        <v>180</v>
      </c>
      <c r="H416" s="8" t="s">
        <v>116</v>
      </c>
      <c r="I416" s="5">
        <v>44446</v>
      </c>
      <c r="J416" t="s">
        <v>119</v>
      </c>
      <c r="K416" t="s">
        <v>121</v>
      </c>
      <c r="L416" s="22" t="s">
        <v>58</v>
      </c>
      <c r="M416" s="8" t="s">
        <v>124</v>
      </c>
      <c r="N416" s="21" t="s">
        <v>127</v>
      </c>
    </row>
    <row r="417" spans="1:15" ht="15" x14ac:dyDescent="0.25">
      <c r="A417" t="s">
        <v>139</v>
      </c>
      <c r="B417" s="8" t="s">
        <v>182</v>
      </c>
      <c r="C417">
        <v>901.13</v>
      </c>
      <c r="D417" s="8" t="s">
        <v>182</v>
      </c>
      <c r="E417" t="s">
        <v>121</v>
      </c>
      <c r="F417" t="s">
        <v>19</v>
      </c>
      <c r="G417" t="s">
        <v>161</v>
      </c>
      <c r="H417" s="8" t="s">
        <v>116</v>
      </c>
      <c r="I417" s="5">
        <v>44452</v>
      </c>
      <c r="J417" t="s">
        <v>23</v>
      </c>
      <c r="K417" t="s">
        <v>121</v>
      </c>
      <c r="L417" s="22">
        <v>0.06</v>
      </c>
      <c r="M417" s="8" t="s">
        <v>124</v>
      </c>
      <c r="N417" s="21" t="s">
        <v>127</v>
      </c>
      <c r="O417" s="8" t="s">
        <v>126</v>
      </c>
    </row>
    <row r="418" spans="1:15" ht="15" x14ac:dyDescent="0.25">
      <c r="A418" t="s">
        <v>139</v>
      </c>
      <c r="B418" s="8" t="s">
        <v>182</v>
      </c>
      <c r="C418">
        <v>901.13</v>
      </c>
      <c r="D418" s="8" t="s">
        <v>182</v>
      </c>
      <c r="E418" t="s">
        <v>121</v>
      </c>
      <c r="F418" t="s">
        <v>19</v>
      </c>
      <c r="G418" t="s">
        <v>181</v>
      </c>
      <c r="H418" s="8" t="s">
        <v>116</v>
      </c>
      <c r="I418" s="5">
        <v>44452</v>
      </c>
      <c r="J418" t="s">
        <v>23</v>
      </c>
      <c r="K418" t="s">
        <v>121</v>
      </c>
      <c r="L418" s="22">
        <v>1.5273E-2</v>
      </c>
      <c r="M418" s="8" t="s">
        <v>124</v>
      </c>
      <c r="N418" s="21" t="s">
        <v>127</v>
      </c>
      <c r="O418" s="8" t="s">
        <v>126</v>
      </c>
    </row>
    <row r="419" spans="1:15" ht="15" x14ac:dyDescent="0.25">
      <c r="A419" t="s">
        <v>138</v>
      </c>
      <c r="B419" s="8" t="s">
        <v>182</v>
      </c>
      <c r="C419">
        <v>901.13</v>
      </c>
      <c r="D419" s="8" t="s">
        <v>182</v>
      </c>
      <c r="E419" t="s">
        <v>121</v>
      </c>
      <c r="F419" t="s">
        <v>19</v>
      </c>
      <c r="G419" t="s">
        <v>171</v>
      </c>
      <c r="H419" s="8" t="s">
        <v>116</v>
      </c>
      <c r="I419" s="5">
        <v>44455</v>
      </c>
      <c r="J419" t="s">
        <v>23</v>
      </c>
      <c r="K419" t="s">
        <v>121</v>
      </c>
      <c r="L419" s="22">
        <v>7.4999999999999997E-2</v>
      </c>
      <c r="M419" s="8" t="s">
        <v>124</v>
      </c>
      <c r="N419" s="21" t="s">
        <v>127</v>
      </c>
      <c r="O419" s="8" t="s">
        <v>126</v>
      </c>
    </row>
    <row r="420" spans="1:15" ht="15" x14ac:dyDescent="0.25">
      <c r="A420" t="s">
        <v>136</v>
      </c>
      <c r="B420" s="8" t="s">
        <v>182</v>
      </c>
      <c r="C420">
        <v>901.13</v>
      </c>
      <c r="D420" s="8" t="s">
        <v>182</v>
      </c>
      <c r="E420" t="s">
        <v>113</v>
      </c>
      <c r="F420" t="s">
        <v>19</v>
      </c>
      <c r="G420" t="s">
        <v>154</v>
      </c>
      <c r="H420" s="8" t="s">
        <v>116</v>
      </c>
      <c r="I420" s="5">
        <v>44461</v>
      </c>
      <c r="J420" t="s">
        <v>114</v>
      </c>
      <c r="K420" t="s">
        <v>113</v>
      </c>
      <c r="L420" s="22" t="s">
        <v>58</v>
      </c>
      <c r="M420" s="8" t="s">
        <v>124</v>
      </c>
      <c r="N420" s="21" t="s">
        <v>127</v>
      </c>
    </row>
    <row r="421" spans="1:15" ht="15" x14ac:dyDescent="0.25">
      <c r="A421" t="s">
        <v>136</v>
      </c>
      <c r="B421" s="8" t="s">
        <v>182</v>
      </c>
      <c r="C421">
        <v>901.13</v>
      </c>
      <c r="D421" s="8" t="s">
        <v>182</v>
      </c>
      <c r="E421" t="s">
        <v>122</v>
      </c>
      <c r="F421" t="s">
        <v>19</v>
      </c>
      <c r="G421" t="s">
        <v>157</v>
      </c>
      <c r="H421" s="8" t="s">
        <v>116</v>
      </c>
      <c r="I421" s="5">
        <v>44461</v>
      </c>
      <c r="J421" t="s">
        <v>119</v>
      </c>
      <c r="K421" t="s">
        <v>122</v>
      </c>
      <c r="L421" s="22">
        <v>0</v>
      </c>
      <c r="M421" s="8" t="s">
        <v>124</v>
      </c>
      <c r="N421" s="21" t="s">
        <v>127</v>
      </c>
      <c r="O421" s="8" t="s">
        <v>125</v>
      </c>
    </row>
    <row r="422" spans="1:15" ht="15" x14ac:dyDescent="0.25">
      <c r="A422" t="s">
        <v>136</v>
      </c>
      <c r="B422" s="8" t="s">
        <v>182</v>
      </c>
      <c r="C422">
        <v>901.13</v>
      </c>
      <c r="D422" s="8" t="s">
        <v>182</v>
      </c>
      <c r="E422" t="s">
        <v>121</v>
      </c>
      <c r="F422" t="s">
        <v>19</v>
      </c>
      <c r="G422" t="s">
        <v>172</v>
      </c>
      <c r="H422" s="8" t="s">
        <v>116</v>
      </c>
      <c r="I422" s="5">
        <v>44461</v>
      </c>
      <c r="J422" t="s">
        <v>23</v>
      </c>
      <c r="K422" t="s">
        <v>121</v>
      </c>
      <c r="L422" s="22">
        <v>3.4290000000000002E-3</v>
      </c>
      <c r="M422" s="8" t="s">
        <v>124</v>
      </c>
      <c r="N422" s="21" t="s">
        <v>127</v>
      </c>
    </row>
    <row r="423" spans="1:15" ht="15" x14ac:dyDescent="0.25">
      <c r="A423" t="s">
        <v>136</v>
      </c>
      <c r="B423" s="8" t="s">
        <v>182</v>
      </c>
      <c r="C423">
        <v>901.13</v>
      </c>
      <c r="D423" s="8" t="s">
        <v>182</v>
      </c>
      <c r="E423" t="s">
        <v>113</v>
      </c>
      <c r="F423" t="s">
        <v>19</v>
      </c>
      <c r="G423" t="s">
        <v>178</v>
      </c>
      <c r="H423" s="8" t="s">
        <v>116</v>
      </c>
      <c r="I423" s="5">
        <v>44461</v>
      </c>
      <c r="J423" t="s">
        <v>114</v>
      </c>
      <c r="K423" t="s">
        <v>113</v>
      </c>
      <c r="L423" s="22" t="s">
        <v>58</v>
      </c>
      <c r="M423" s="8" t="s">
        <v>124</v>
      </c>
      <c r="N423" s="21" t="s">
        <v>127</v>
      </c>
    </row>
    <row r="424" spans="1:15" ht="15" x14ac:dyDescent="0.25">
      <c r="A424" t="s">
        <v>136</v>
      </c>
      <c r="B424" s="8" t="s">
        <v>182</v>
      </c>
      <c r="C424">
        <v>901.13</v>
      </c>
      <c r="D424" s="8" t="s">
        <v>182</v>
      </c>
      <c r="E424" t="s">
        <v>121</v>
      </c>
      <c r="F424" t="s">
        <v>19</v>
      </c>
      <c r="G424" t="s">
        <v>160</v>
      </c>
      <c r="H424" s="8" t="s">
        <v>115</v>
      </c>
      <c r="I424" s="5">
        <v>44658</v>
      </c>
      <c r="J424" t="s">
        <v>23</v>
      </c>
      <c r="K424" t="s">
        <v>121</v>
      </c>
      <c r="L424" s="22">
        <v>0.48125000000000001</v>
      </c>
      <c r="M424" s="8" t="s">
        <v>124</v>
      </c>
      <c r="N424" s="21" t="s">
        <v>127</v>
      </c>
      <c r="O424" s="8" t="s">
        <v>126</v>
      </c>
    </row>
    <row r="425" spans="1:15" ht="15" x14ac:dyDescent="0.25">
      <c r="A425" t="s">
        <v>136</v>
      </c>
      <c r="B425" s="8" t="s">
        <v>182</v>
      </c>
      <c r="C425">
        <v>901.13</v>
      </c>
      <c r="D425" s="8" t="s">
        <v>182</v>
      </c>
      <c r="E425" t="s">
        <v>121</v>
      </c>
      <c r="F425" t="s">
        <v>19</v>
      </c>
      <c r="G425" t="s">
        <v>160</v>
      </c>
      <c r="H425" s="8" t="s">
        <v>115</v>
      </c>
      <c r="I425" s="5">
        <v>44665</v>
      </c>
      <c r="J425" t="s">
        <v>119</v>
      </c>
      <c r="K425" t="s">
        <v>121</v>
      </c>
      <c r="L425" s="22" t="s">
        <v>58</v>
      </c>
      <c r="M425" s="8" t="s">
        <v>124</v>
      </c>
      <c r="N425" s="21" t="s">
        <v>127</v>
      </c>
    </row>
    <row r="426" spans="1:15" ht="15" x14ac:dyDescent="0.25">
      <c r="A426" t="s">
        <v>136</v>
      </c>
      <c r="B426" s="8" t="s">
        <v>182</v>
      </c>
      <c r="C426">
        <v>901.13</v>
      </c>
      <c r="D426" s="8" t="s">
        <v>182</v>
      </c>
      <c r="E426" t="s">
        <v>121</v>
      </c>
      <c r="F426" t="s">
        <v>19</v>
      </c>
      <c r="G426" t="s">
        <v>160</v>
      </c>
      <c r="H426" s="8" t="s">
        <v>115</v>
      </c>
      <c r="I426" s="5">
        <v>44672</v>
      </c>
      <c r="J426" t="s">
        <v>119</v>
      </c>
      <c r="K426" t="s">
        <v>121</v>
      </c>
      <c r="L426" s="22" t="s">
        <v>58</v>
      </c>
      <c r="M426" s="8" t="s">
        <v>124</v>
      </c>
      <c r="N426" s="21" t="s">
        <v>127</v>
      </c>
    </row>
    <row r="427" spans="1:15" ht="15" x14ac:dyDescent="0.25">
      <c r="A427" t="s">
        <v>136</v>
      </c>
      <c r="B427" s="8" t="s">
        <v>182</v>
      </c>
      <c r="C427">
        <v>901.13</v>
      </c>
      <c r="D427" s="8" t="s">
        <v>182</v>
      </c>
      <c r="E427" t="s">
        <v>121</v>
      </c>
      <c r="F427" t="s">
        <v>19</v>
      </c>
      <c r="G427" t="s">
        <v>160</v>
      </c>
      <c r="H427" s="8" t="s">
        <v>115</v>
      </c>
      <c r="I427" s="5">
        <v>44693</v>
      </c>
      <c r="J427" t="s">
        <v>23</v>
      </c>
      <c r="K427" t="s">
        <v>121</v>
      </c>
      <c r="L427" s="22">
        <v>0.86789499999999997</v>
      </c>
      <c r="M427" s="8" t="s">
        <v>124</v>
      </c>
      <c r="N427" s="21" t="s">
        <v>127</v>
      </c>
      <c r="O427" s="8" t="s">
        <v>126</v>
      </c>
    </row>
    <row r="428" spans="1:15" ht="15" x14ac:dyDescent="0.25">
      <c r="A428" t="s">
        <v>136</v>
      </c>
      <c r="B428" s="8" t="s">
        <v>182</v>
      </c>
      <c r="C428">
        <v>901.13</v>
      </c>
      <c r="D428" s="8" t="s">
        <v>182</v>
      </c>
      <c r="E428" t="s">
        <v>113</v>
      </c>
      <c r="F428" t="s">
        <v>19</v>
      </c>
      <c r="G428" t="s">
        <v>160</v>
      </c>
      <c r="H428" s="8" t="s">
        <v>115</v>
      </c>
      <c r="I428" s="5">
        <v>44700</v>
      </c>
      <c r="J428" t="s">
        <v>119</v>
      </c>
      <c r="K428" t="s">
        <v>113</v>
      </c>
      <c r="L428" s="22" t="s">
        <v>58</v>
      </c>
      <c r="M428" s="8" t="s">
        <v>124</v>
      </c>
      <c r="N428" s="21" t="s">
        <v>127</v>
      </c>
    </row>
    <row r="429" spans="1:15" ht="15" x14ac:dyDescent="0.25">
      <c r="A429" t="s">
        <v>140</v>
      </c>
      <c r="B429" s="8" t="s">
        <v>182</v>
      </c>
      <c r="C429">
        <v>901.13</v>
      </c>
      <c r="D429" s="8" t="s">
        <v>182</v>
      </c>
      <c r="E429" t="s">
        <v>113</v>
      </c>
      <c r="F429" t="s">
        <v>19</v>
      </c>
      <c r="G429" t="s">
        <v>177</v>
      </c>
      <c r="H429" s="8" t="s">
        <v>115</v>
      </c>
      <c r="I429" s="5">
        <v>44726</v>
      </c>
      <c r="J429" t="s">
        <v>119</v>
      </c>
      <c r="K429" t="s">
        <v>113</v>
      </c>
      <c r="L429" s="22" t="s">
        <v>58</v>
      </c>
      <c r="M429" s="8" t="s">
        <v>124</v>
      </c>
      <c r="N429" s="21" t="s">
        <v>127</v>
      </c>
    </row>
    <row r="430" spans="1:15" ht="15" x14ac:dyDescent="0.25">
      <c r="A430" t="s">
        <v>139</v>
      </c>
      <c r="B430" s="8" t="s">
        <v>182</v>
      </c>
      <c r="C430">
        <v>901.13</v>
      </c>
      <c r="D430" s="8" t="s">
        <v>182</v>
      </c>
      <c r="E430" t="s">
        <v>121</v>
      </c>
      <c r="F430" t="s">
        <v>19</v>
      </c>
      <c r="G430" t="s">
        <v>161</v>
      </c>
      <c r="H430" s="8" t="s">
        <v>115</v>
      </c>
      <c r="I430" s="5">
        <v>44727</v>
      </c>
      <c r="J430" t="s">
        <v>23</v>
      </c>
      <c r="K430" t="s">
        <v>121</v>
      </c>
      <c r="L430" s="22">
        <v>7.3499999999999996E-2</v>
      </c>
      <c r="M430" s="8" t="s">
        <v>124</v>
      </c>
      <c r="N430" s="21" t="s">
        <v>127</v>
      </c>
      <c r="O430" s="8" t="s">
        <v>126</v>
      </c>
    </row>
    <row r="431" spans="1:15" ht="15" x14ac:dyDescent="0.25">
      <c r="A431" t="s">
        <v>139</v>
      </c>
      <c r="B431" s="8" t="s">
        <v>182</v>
      </c>
      <c r="C431">
        <v>901.13</v>
      </c>
      <c r="D431" s="8" t="s">
        <v>182</v>
      </c>
      <c r="E431" t="s">
        <v>121</v>
      </c>
      <c r="F431" t="s">
        <v>19</v>
      </c>
      <c r="G431" t="s">
        <v>181</v>
      </c>
      <c r="H431" s="8" t="s">
        <v>115</v>
      </c>
      <c r="I431" s="5">
        <v>44727</v>
      </c>
      <c r="J431" t="s">
        <v>23</v>
      </c>
      <c r="K431" t="s">
        <v>121</v>
      </c>
      <c r="L431" s="22">
        <v>1.0833000000000001E-2</v>
      </c>
      <c r="M431" s="8" t="s">
        <v>124</v>
      </c>
      <c r="N431" s="21" t="s">
        <v>127</v>
      </c>
      <c r="O431" s="8" t="s">
        <v>126</v>
      </c>
    </row>
    <row r="432" spans="1:15" ht="15" x14ac:dyDescent="0.25">
      <c r="A432" t="s">
        <v>136</v>
      </c>
      <c r="B432" s="8" t="s">
        <v>182</v>
      </c>
      <c r="C432">
        <v>901.13</v>
      </c>
      <c r="D432" s="8" t="s">
        <v>182</v>
      </c>
      <c r="E432" t="s">
        <v>122</v>
      </c>
      <c r="F432" t="s">
        <v>19</v>
      </c>
      <c r="G432" t="s">
        <v>141</v>
      </c>
      <c r="H432" s="8" t="s">
        <v>115</v>
      </c>
      <c r="I432" s="5">
        <v>44733</v>
      </c>
      <c r="J432" t="s">
        <v>119</v>
      </c>
      <c r="K432" t="s">
        <v>122</v>
      </c>
      <c r="L432" s="22" t="s">
        <v>58</v>
      </c>
      <c r="M432" s="8" t="s">
        <v>124</v>
      </c>
      <c r="N432" s="21" t="s">
        <v>127</v>
      </c>
    </row>
    <row r="433" spans="1:15" ht="15" x14ac:dyDescent="0.25">
      <c r="A433" t="s">
        <v>137</v>
      </c>
      <c r="B433" s="8" t="s">
        <v>182</v>
      </c>
      <c r="C433">
        <v>901.13</v>
      </c>
      <c r="D433" s="8" t="s">
        <v>182</v>
      </c>
      <c r="E433" t="s">
        <v>121</v>
      </c>
      <c r="F433" t="s">
        <v>19</v>
      </c>
      <c r="G433" t="s">
        <v>142</v>
      </c>
      <c r="H433" s="8" t="s">
        <v>115</v>
      </c>
      <c r="I433" s="5">
        <v>44733</v>
      </c>
      <c r="J433" t="s">
        <v>23</v>
      </c>
      <c r="K433" t="s">
        <v>121</v>
      </c>
      <c r="L433" s="22" t="s">
        <v>58</v>
      </c>
      <c r="M433" s="8" t="s">
        <v>124</v>
      </c>
      <c r="N433" s="21" t="s">
        <v>127</v>
      </c>
      <c r="O433" s="8" t="s">
        <v>126</v>
      </c>
    </row>
    <row r="434" spans="1:15" ht="15" x14ac:dyDescent="0.25">
      <c r="A434" t="s">
        <v>136</v>
      </c>
      <c r="B434" s="8" t="s">
        <v>182</v>
      </c>
      <c r="C434">
        <v>901.13</v>
      </c>
      <c r="D434" s="8" t="s">
        <v>182</v>
      </c>
      <c r="E434" t="s">
        <v>113</v>
      </c>
      <c r="F434" t="s">
        <v>19</v>
      </c>
      <c r="G434" t="s">
        <v>143</v>
      </c>
      <c r="H434" s="8" t="s">
        <v>115</v>
      </c>
      <c r="I434" s="5">
        <v>44733</v>
      </c>
      <c r="J434" t="s">
        <v>119</v>
      </c>
      <c r="K434" t="s">
        <v>113</v>
      </c>
      <c r="L434" s="22" t="s">
        <v>58</v>
      </c>
      <c r="M434" s="8" t="s">
        <v>124</v>
      </c>
      <c r="N434" s="21" t="s">
        <v>127</v>
      </c>
    </row>
    <row r="435" spans="1:15" ht="15" x14ac:dyDescent="0.25">
      <c r="A435" t="s">
        <v>136</v>
      </c>
      <c r="B435" s="8" t="s">
        <v>182</v>
      </c>
      <c r="C435">
        <v>901.13</v>
      </c>
      <c r="D435" s="8" t="s">
        <v>182</v>
      </c>
      <c r="E435" t="s">
        <v>113</v>
      </c>
      <c r="F435" t="s">
        <v>19</v>
      </c>
      <c r="G435" t="s">
        <v>144</v>
      </c>
      <c r="H435" s="8" t="s">
        <v>115</v>
      </c>
      <c r="I435" s="5">
        <v>44733</v>
      </c>
      <c r="J435" t="s">
        <v>119</v>
      </c>
      <c r="K435" t="s">
        <v>113</v>
      </c>
      <c r="L435" s="22" t="s">
        <v>58</v>
      </c>
      <c r="M435" s="8" t="s">
        <v>124</v>
      </c>
      <c r="N435" s="21" t="s">
        <v>127</v>
      </c>
    </row>
    <row r="436" spans="1:15" ht="15" x14ac:dyDescent="0.25">
      <c r="A436" t="s">
        <v>136</v>
      </c>
      <c r="B436" s="8" t="s">
        <v>182</v>
      </c>
      <c r="C436">
        <v>901.13</v>
      </c>
      <c r="D436" s="8" t="s">
        <v>182</v>
      </c>
      <c r="E436" t="s">
        <v>121</v>
      </c>
      <c r="F436" t="s">
        <v>19</v>
      </c>
      <c r="G436" t="s">
        <v>152</v>
      </c>
      <c r="H436" s="8" t="s">
        <v>115</v>
      </c>
      <c r="I436" s="5">
        <v>44733</v>
      </c>
      <c r="J436" t="s">
        <v>119</v>
      </c>
      <c r="K436" t="s">
        <v>121</v>
      </c>
      <c r="L436" s="22" t="s">
        <v>58</v>
      </c>
      <c r="M436" s="8" t="s">
        <v>124</v>
      </c>
      <c r="N436" s="21" t="s">
        <v>127</v>
      </c>
    </row>
    <row r="437" spans="1:15" ht="15" x14ac:dyDescent="0.25">
      <c r="A437" t="s">
        <v>136</v>
      </c>
      <c r="B437" s="8" t="s">
        <v>182</v>
      </c>
      <c r="C437">
        <v>901.13</v>
      </c>
      <c r="D437" s="8" t="s">
        <v>182</v>
      </c>
      <c r="E437" t="s">
        <v>113</v>
      </c>
      <c r="F437" t="s">
        <v>19</v>
      </c>
      <c r="G437" t="s">
        <v>154</v>
      </c>
      <c r="H437" s="8" t="s">
        <v>115</v>
      </c>
      <c r="I437" s="5">
        <v>44733</v>
      </c>
      <c r="J437" t="s">
        <v>114</v>
      </c>
      <c r="K437" t="s">
        <v>113</v>
      </c>
      <c r="L437" s="22" t="s">
        <v>58</v>
      </c>
      <c r="M437" s="8" t="s">
        <v>124</v>
      </c>
      <c r="N437" s="21" t="s">
        <v>127</v>
      </c>
    </row>
    <row r="438" spans="1:15" ht="15" x14ac:dyDescent="0.25">
      <c r="A438" t="s">
        <v>136</v>
      </c>
      <c r="B438" s="8" t="s">
        <v>182</v>
      </c>
      <c r="C438">
        <v>901.13</v>
      </c>
      <c r="D438" s="8" t="s">
        <v>182</v>
      </c>
      <c r="E438" t="s">
        <v>122</v>
      </c>
      <c r="F438" t="s">
        <v>19</v>
      </c>
      <c r="G438" t="s">
        <v>158</v>
      </c>
      <c r="H438" s="8" t="s">
        <v>115</v>
      </c>
      <c r="I438" s="5">
        <v>44733</v>
      </c>
      <c r="J438" t="s">
        <v>119</v>
      </c>
      <c r="K438" t="s">
        <v>122</v>
      </c>
      <c r="L438" s="22" t="s">
        <v>58</v>
      </c>
      <c r="M438" s="8" t="s">
        <v>124</v>
      </c>
      <c r="N438" s="21" t="s">
        <v>127</v>
      </c>
    </row>
    <row r="439" spans="1:15" ht="15" x14ac:dyDescent="0.25">
      <c r="A439" t="s">
        <v>136</v>
      </c>
      <c r="B439" s="8" t="s">
        <v>182</v>
      </c>
      <c r="C439">
        <v>901.13</v>
      </c>
      <c r="D439" s="8" t="s">
        <v>182</v>
      </c>
      <c r="E439" t="s">
        <v>121</v>
      </c>
      <c r="F439" t="s">
        <v>19</v>
      </c>
      <c r="G439" t="s">
        <v>162</v>
      </c>
      <c r="H439" s="8" t="s">
        <v>115</v>
      </c>
      <c r="I439" s="5">
        <v>44733</v>
      </c>
      <c r="J439" t="s">
        <v>119</v>
      </c>
      <c r="K439" t="s">
        <v>121</v>
      </c>
      <c r="L439" s="22" t="s">
        <v>58</v>
      </c>
      <c r="M439" s="8" t="s">
        <v>124</v>
      </c>
      <c r="N439" s="21" t="s">
        <v>127</v>
      </c>
    </row>
    <row r="440" spans="1:15" ht="15" x14ac:dyDescent="0.25">
      <c r="A440" t="s">
        <v>137</v>
      </c>
      <c r="B440" s="8" t="s">
        <v>182</v>
      </c>
      <c r="C440">
        <v>901.13</v>
      </c>
      <c r="D440" s="8" t="s">
        <v>182</v>
      </c>
      <c r="E440" t="s">
        <v>121</v>
      </c>
      <c r="F440" t="s">
        <v>19</v>
      </c>
      <c r="G440" t="s">
        <v>170</v>
      </c>
      <c r="H440" s="8" t="s">
        <v>115</v>
      </c>
      <c r="I440" s="5">
        <v>44733</v>
      </c>
      <c r="J440" t="s">
        <v>23</v>
      </c>
      <c r="K440" t="s">
        <v>121</v>
      </c>
      <c r="L440" s="22">
        <v>1E-3</v>
      </c>
      <c r="M440" s="8" t="s">
        <v>124</v>
      </c>
      <c r="N440" s="21" t="s">
        <v>127</v>
      </c>
      <c r="O440" s="8" t="s">
        <v>125</v>
      </c>
    </row>
    <row r="441" spans="1:15" ht="15" x14ac:dyDescent="0.25">
      <c r="A441" t="s">
        <v>136</v>
      </c>
      <c r="B441" s="8" t="s">
        <v>182</v>
      </c>
      <c r="C441">
        <v>901.13</v>
      </c>
      <c r="D441" s="8" t="s">
        <v>182</v>
      </c>
      <c r="E441" t="s">
        <v>121</v>
      </c>
      <c r="F441" t="s">
        <v>19</v>
      </c>
      <c r="G441" t="s">
        <v>172</v>
      </c>
      <c r="H441" s="8" t="s">
        <v>115</v>
      </c>
      <c r="I441" s="5">
        <v>44733</v>
      </c>
      <c r="J441" t="s">
        <v>119</v>
      </c>
      <c r="K441" t="s">
        <v>121</v>
      </c>
      <c r="L441" s="22" t="s">
        <v>58</v>
      </c>
      <c r="M441" s="8" t="s">
        <v>124</v>
      </c>
      <c r="N441" s="21" t="s">
        <v>127</v>
      </c>
    </row>
    <row r="442" spans="1:15" ht="15" x14ac:dyDescent="0.25">
      <c r="A442" t="s">
        <v>136</v>
      </c>
      <c r="B442" s="8" t="s">
        <v>182</v>
      </c>
      <c r="C442">
        <v>901.13</v>
      </c>
      <c r="D442" s="8" t="s">
        <v>182</v>
      </c>
      <c r="E442" t="s">
        <v>121</v>
      </c>
      <c r="F442" t="s">
        <v>19</v>
      </c>
      <c r="G442" t="s">
        <v>175</v>
      </c>
      <c r="H442" s="8" t="s">
        <v>115</v>
      </c>
      <c r="I442" s="5">
        <v>44733</v>
      </c>
      <c r="J442" t="s">
        <v>119</v>
      </c>
      <c r="K442" t="s">
        <v>121</v>
      </c>
      <c r="L442" s="22" t="s">
        <v>58</v>
      </c>
      <c r="M442" s="8" t="s">
        <v>124</v>
      </c>
      <c r="N442" s="21" t="s">
        <v>127</v>
      </c>
    </row>
    <row r="443" spans="1:15" ht="15" x14ac:dyDescent="0.25">
      <c r="A443" t="s">
        <v>136</v>
      </c>
      <c r="B443" s="8" t="s">
        <v>182</v>
      </c>
      <c r="C443">
        <v>901.13</v>
      </c>
      <c r="D443" s="8" t="s">
        <v>182</v>
      </c>
      <c r="E443" t="s">
        <v>121</v>
      </c>
      <c r="F443" t="s">
        <v>19</v>
      </c>
      <c r="G443" t="s">
        <v>176</v>
      </c>
      <c r="H443" s="8" t="s">
        <v>115</v>
      </c>
      <c r="I443" s="5">
        <v>44733</v>
      </c>
      <c r="J443" t="s">
        <v>23</v>
      </c>
      <c r="K443" t="s">
        <v>121</v>
      </c>
      <c r="L443" s="22">
        <v>0.13333300000000001</v>
      </c>
      <c r="M443" s="8" t="s">
        <v>124</v>
      </c>
      <c r="N443" s="21" t="s">
        <v>127</v>
      </c>
      <c r="O443" s="8" t="s">
        <v>126</v>
      </c>
    </row>
    <row r="444" spans="1:15" ht="15" x14ac:dyDescent="0.25">
      <c r="A444" t="s">
        <v>136</v>
      </c>
      <c r="B444" s="8" t="s">
        <v>182</v>
      </c>
      <c r="C444">
        <v>901.13</v>
      </c>
      <c r="D444" s="8" t="s">
        <v>182</v>
      </c>
      <c r="E444" t="s">
        <v>113</v>
      </c>
      <c r="F444" t="s">
        <v>19</v>
      </c>
      <c r="G444" t="s">
        <v>178</v>
      </c>
      <c r="H444" s="8" t="s">
        <v>115</v>
      </c>
      <c r="I444" s="5">
        <v>44733</v>
      </c>
      <c r="J444" t="s">
        <v>114</v>
      </c>
      <c r="K444" t="s">
        <v>113</v>
      </c>
      <c r="L444" s="22" t="s">
        <v>58</v>
      </c>
      <c r="M444" s="8" t="s">
        <v>124</v>
      </c>
      <c r="N444" s="21" t="s">
        <v>127</v>
      </c>
    </row>
    <row r="445" spans="1:15" ht="15" x14ac:dyDescent="0.25">
      <c r="A445" t="s">
        <v>136</v>
      </c>
      <c r="B445" s="8" t="s">
        <v>182</v>
      </c>
      <c r="C445">
        <v>901.13</v>
      </c>
      <c r="D445" s="8" t="s">
        <v>182</v>
      </c>
      <c r="E445" t="s">
        <v>121</v>
      </c>
      <c r="F445" t="s">
        <v>19</v>
      </c>
      <c r="G445" t="s">
        <v>180</v>
      </c>
      <c r="H445" s="8" t="s">
        <v>115</v>
      </c>
      <c r="I445" s="5">
        <v>44733</v>
      </c>
      <c r="J445" t="s">
        <v>119</v>
      </c>
      <c r="K445" t="s">
        <v>121</v>
      </c>
      <c r="L445" s="22" t="s">
        <v>58</v>
      </c>
      <c r="M445" s="8" t="s">
        <v>124</v>
      </c>
      <c r="N445" s="21" t="s">
        <v>127</v>
      </c>
    </row>
    <row r="446" spans="1:15" ht="15" x14ac:dyDescent="0.25">
      <c r="A446" t="s">
        <v>138</v>
      </c>
      <c r="B446" s="8" t="s">
        <v>182</v>
      </c>
      <c r="C446">
        <v>901.13</v>
      </c>
      <c r="D446" s="8" t="s">
        <v>182</v>
      </c>
      <c r="E446" t="s">
        <v>121</v>
      </c>
      <c r="F446" t="s">
        <v>19</v>
      </c>
      <c r="G446" t="s">
        <v>145</v>
      </c>
      <c r="H446" s="8" t="s">
        <v>115</v>
      </c>
      <c r="I446" s="5">
        <v>44735</v>
      </c>
      <c r="J446" t="s">
        <v>23</v>
      </c>
      <c r="K446" t="s">
        <v>121</v>
      </c>
      <c r="L446" s="22">
        <v>3.9615999999999998E-2</v>
      </c>
      <c r="M446" s="8" t="s">
        <v>124</v>
      </c>
      <c r="N446" s="21" t="s">
        <v>127</v>
      </c>
      <c r="O446" s="8" t="s">
        <v>126</v>
      </c>
    </row>
    <row r="447" spans="1:15" ht="15" x14ac:dyDescent="0.25">
      <c r="A447" t="s">
        <v>138</v>
      </c>
      <c r="B447" s="8" t="s">
        <v>182</v>
      </c>
      <c r="C447">
        <v>901.13</v>
      </c>
      <c r="D447" s="8" t="s">
        <v>182</v>
      </c>
      <c r="E447" t="s">
        <v>121</v>
      </c>
      <c r="F447" t="s">
        <v>19</v>
      </c>
      <c r="G447" t="s">
        <v>146</v>
      </c>
      <c r="H447" s="8" t="s">
        <v>115</v>
      </c>
      <c r="I447" s="5">
        <v>44735</v>
      </c>
      <c r="J447" t="s">
        <v>23</v>
      </c>
      <c r="K447" t="s">
        <v>121</v>
      </c>
      <c r="L447" s="22">
        <v>0.1</v>
      </c>
      <c r="M447" s="8" t="s">
        <v>124</v>
      </c>
      <c r="N447" s="21" t="s">
        <v>127</v>
      </c>
      <c r="O447" s="8" t="s">
        <v>126</v>
      </c>
    </row>
    <row r="448" spans="1:15" ht="15" x14ac:dyDescent="0.25">
      <c r="A448" t="s">
        <v>138</v>
      </c>
      <c r="B448" s="8" t="s">
        <v>182</v>
      </c>
      <c r="C448">
        <v>901.13</v>
      </c>
      <c r="D448" s="8" t="s">
        <v>182</v>
      </c>
      <c r="E448" t="s">
        <v>113</v>
      </c>
      <c r="F448" t="s">
        <v>19</v>
      </c>
      <c r="G448" t="s">
        <v>147</v>
      </c>
      <c r="H448" s="8" t="s">
        <v>115</v>
      </c>
      <c r="I448" s="5">
        <v>44735</v>
      </c>
      <c r="J448" t="s">
        <v>114</v>
      </c>
      <c r="K448" t="s">
        <v>113</v>
      </c>
      <c r="L448" s="22" t="s">
        <v>58</v>
      </c>
      <c r="M448" s="8" t="s">
        <v>124</v>
      </c>
      <c r="N448" s="21" t="s">
        <v>127</v>
      </c>
    </row>
    <row r="449" spans="1:15" ht="15" x14ac:dyDescent="0.25">
      <c r="A449" t="s">
        <v>138</v>
      </c>
      <c r="B449" s="8" t="s">
        <v>182</v>
      </c>
      <c r="C449">
        <v>901.13</v>
      </c>
      <c r="D449" s="8" t="s">
        <v>182</v>
      </c>
      <c r="E449" t="s">
        <v>121</v>
      </c>
      <c r="F449" t="s">
        <v>19</v>
      </c>
      <c r="G449" t="s">
        <v>151</v>
      </c>
      <c r="H449" s="8" t="s">
        <v>115</v>
      </c>
      <c r="I449" s="5">
        <v>44735</v>
      </c>
      <c r="J449" t="s">
        <v>23</v>
      </c>
      <c r="K449" t="s">
        <v>121</v>
      </c>
      <c r="L449" s="22">
        <v>1.44E-2</v>
      </c>
      <c r="M449" s="8" t="s">
        <v>124</v>
      </c>
      <c r="N449" s="21" t="s">
        <v>127</v>
      </c>
      <c r="O449" s="8" t="s">
        <v>126</v>
      </c>
    </row>
    <row r="450" spans="1:15" ht="15" x14ac:dyDescent="0.25">
      <c r="A450" t="s">
        <v>138</v>
      </c>
      <c r="B450" s="8" t="s">
        <v>182</v>
      </c>
      <c r="C450">
        <v>901.13</v>
      </c>
      <c r="D450" s="8" t="s">
        <v>182</v>
      </c>
      <c r="E450" t="s">
        <v>112</v>
      </c>
      <c r="F450" t="s">
        <v>19</v>
      </c>
      <c r="G450" t="s">
        <v>165</v>
      </c>
      <c r="H450" s="8" t="s">
        <v>115</v>
      </c>
      <c r="I450" s="5">
        <v>44735</v>
      </c>
      <c r="J450" t="s">
        <v>23</v>
      </c>
      <c r="K450" t="s">
        <v>112</v>
      </c>
      <c r="L450" s="22">
        <v>2.5000000000000001E-2</v>
      </c>
      <c r="M450" s="8" t="s">
        <v>124</v>
      </c>
      <c r="N450" s="21" t="s">
        <v>127</v>
      </c>
      <c r="O450" s="8" t="s">
        <v>125</v>
      </c>
    </row>
    <row r="451" spans="1:15" ht="15" x14ac:dyDescent="0.25">
      <c r="A451" t="s">
        <v>138</v>
      </c>
      <c r="B451" s="8" t="s">
        <v>182</v>
      </c>
      <c r="C451">
        <v>901.13</v>
      </c>
      <c r="D451" s="8" t="s">
        <v>182</v>
      </c>
      <c r="E451" t="s">
        <v>121</v>
      </c>
      <c r="F451" t="s">
        <v>19</v>
      </c>
      <c r="G451" t="s">
        <v>171</v>
      </c>
      <c r="H451" s="8" t="s">
        <v>115</v>
      </c>
      <c r="I451" s="5">
        <v>44735</v>
      </c>
      <c r="J451" t="s">
        <v>23</v>
      </c>
      <c r="K451" t="s">
        <v>121</v>
      </c>
      <c r="L451" s="22">
        <v>0.03</v>
      </c>
      <c r="M451" s="8" t="s">
        <v>124</v>
      </c>
      <c r="N451" s="21" t="s">
        <v>127</v>
      </c>
      <c r="O451" s="8" t="s">
        <v>126</v>
      </c>
    </row>
    <row r="452" spans="1:15" ht="15" x14ac:dyDescent="0.25">
      <c r="A452" t="s">
        <v>138</v>
      </c>
      <c r="B452" s="8" t="s">
        <v>182</v>
      </c>
      <c r="C452">
        <v>901.13</v>
      </c>
      <c r="D452" s="8" t="s">
        <v>182</v>
      </c>
      <c r="E452" t="s">
        <v>121</v>
      </c>
      <c r="F452" t="s">
        <v>19</v>
      </c>
      <c r="G452" t="s">
        <v>156</v>
      </c>
      <c r="H452" s="8" t="s">
        <v>115</v>
      </c>
      <c r="I452" s="5">
        <v>44740</v>
      </c>
      <c r="J452" t="s">
        <v>23</v>
      </c>
      <c r="K452" t="s">
        <v>121</v>
      </c>
      <c r="L452" s="22">
        <v>7.0000000000000001E-3</v>
      </c>
      <c r="M452" s="8" t="s">
        <v>124</v>
      </c>
      <c r="N452" s="21" t="s">
        <v>127</v>
      </c>
      <c r="O452" s="8" t="s">
        <v>125</v>
      </c>
    </row>
    <row r="453" spans="1:15" ht="15" x14ac:dyDescent="0.25">
      <c r="A453" t="s">
        <v>139</v>
      </c>
      <c r="B453" s="8" t="s">
        <v>182</v>
      </c>
      <c r="C453">
        <v>901.13</v>
      </c>
      <c r="D453" s="8" t="s">
        <v>182</v>
      </c>
      <c r="E453" t="s">
        <v>121</v>
      </c>
      <c r="F453" t="s">
        <v>19</v>
      </c>
      <c r="G453" t="s">
        <v>166</v>
      </c>
      <c r="H453" s="8" t="s">
        <v>115</v>
      </c>
      <c r="I453" s="5">
        <v>44740</v>
      </c>
      <c r="J453" t="s">
        <v>23</v>
      </c>
      <c r="K453" t="s">
        <v>121</v>
      </c>
      <c r="L453" s="22">
        <v>1E-3</v>
      </c>
      <c r="M453" s="8" t="s">
        <v>124</v>
      </c>
      <c r="N453" s="21" t="s">
        <v>127</v>
      </c>
      <c r="O453" s="8" t="s">
        <v>125</v>
      </c>
    </row>
    <row r="454" spans="1:15" ht="15" x14ac:dyDescent="0.25">
      <c r="A454" t="s">
        <v>111</v>
      </c>
      <c r="B454" s="8" t="s">
        <v>182</v>
      </c>
      <c r="C454">
        <v>901.13</v>
      </c>
      <c r="D454" s="8" t="s">
        <v>182</v>
      </c>
      <c r="E454" t="s">
        <v>113</v>
      </c>
      <c r="F454" t="s">
        <v>19</v>
      </c>
      <c r="G454" t="s">
        <v>168</v>
      </c>
      <c r="H454" s="8" t="s">
        <v>115</v>
      </c>
      <c r="I454" s="5">
        <v>44740</v>
      </c>
      <c r="J454" t="s">
        <v>114</v>
      </c>
      <c r="K454" t="s">
        <v>113</v>
      </c>
      <c r="L454" s="22" t="s">
        <v>58</v>
      </c>
      <c r="M454" s="8" t="s">
        <v>124</v>
      </c>
      <c r="N454" s="21" t="s">
        <v>127</v>
      </c>
    </row>
    <row r="455" spans="1:15" ht="15" x14ac:dyDescent="0.25">
      <c r="A455" t="s">
        <v>111</v>
      </c>
      <c r="B455" s="8" t="s">
        <v>182</v>
      </c>
      <c r="C455">
        <v>901.13</v>
      </c>
      <c r="D455" s="8" t="s">
        <v>182</v>
      </c>
      <c r="E455" t="s">
        <v>121</v>
      </c>
      <c r="F455" t="s">
        <v>19</v>
      </c>
      <c r="G455" t="s">
        <v>169</v>
      </c>
      <c r="H455" s="8" t="s">
        <v>115</v>
      </c>
      <c r="I455" s="5">
        <v>44740</v>
      </c>
      <c r="J455" t="s">
        <v>119</v>
      </c>
      <c r="K455" t="s">
        <v>121</v>
      </c>
      <c r="L455" s="22" t="s">
        <v>58</v>
      </c>
      <c r="M455" s="8" t="s">
        <v>124</v>
      </c>
      <c r="N455" s="21" t="s">
        <v>127</v>
      </c>
    </row>
    <row r="456" spans="1:15" ht="15" x14ac:dyDescent="0.25">
      <c r="A456" t="s">
        <v>138</v>
      </c>
      <c r="B456" s="8" t="s">
        <v>182</v>
      </c>
      <c r="C456">
        <v>901.13</v>
      </c>
      <c r="D456" s="8" t="s">
        <v>182</v>
      </c>
      <c r="E456" t="s">
        <v>113</v>
      </c>
      <c r="F456" t="s">
        <v>19</v>
      </c>
      <c r="G456" t="s">
        <v>173</v>
      </c>
      <c r="H456" s="8" t="s">
        <v>115</v>
      </c>
      <c r="I456" s="5">
        <v>44740</v>
      </c>
      <c r="J456" t="s">
        <v>23</v>
      </c>
      <c r="K456" t="s">
        <v>113</v>
      </c>
      <c r="L456" s="22">
        <v>4.0000000000000001E-3</v>
      </c>
      <c r="M456" s="8" t="s">
        <v>124</v>
      </c>
      <c r="N456" s="21" t="s">
        <v>127</v>
      </c>
      <c r="O456" s="8" t="s">
        <v>125</v>
      </c>
    </row>
    <row r="457" spans="1:15" ht="15" x14ac:dyDescent="0.25">
      <c r="A457" t="s">
        <v>139</v>
      </c>
      <c r="B457" s="8" t="s">
        <v>182</v>
      </c>
      <c r="C457">
        <v>901.13</v>
      </c>
      <c r="D457" s="8" t="s">
        <v>182</v>
      </c>
      <c r="E457"/>
      <c r="F457" t="s">
        <v>19</v>
      </c>
      <c r="G457" t="s">
        <v>174</v>
      </c>
      <c r="H457" s="8" t="s">
        <v>115</v>
      </c>
      <c r="I457" s="5">
        <v>44740</v>
      </c>
      <c r="J457" t="s">
        <v>119</v>
      </c>
      <c r="K457" t="s">
        <v>122</v>
      </c>
      <c r="L457" s="22" t="s">
        <v>58</v>
      </c>
      <c r="M457" s="8" t="s">
        <v>124</v>
      </c>
      <c r="N457" s="21" t="s">
        <v>127</v>
      </c>
    </row>
    <row r="458" spans="1:15" ht="15" x14ac:dyDescent="0.25">
      <c r="A458" t="s">
        <v>136</v>
      </c>
      <c r="B458" s="8" t="s">
        <v>182</v>
      </c>
      <c r="C458">
        <v>901.13</v>
      </c>
      <c r="D458" s="8" t="s">
        <v>182</v>
      </c>
      <c r="E458" t="s">
        <v>122</v>
      </c>
      <c r="F458" t="s">
        <v>19</v>
      </c>
      <c r="G458" t="s">
        <v>157</v>
      </c>
      <c r="H458" s="8" t="s">
        <v>115</v>
      </c>
      <c r="I458" s="5">
        <v>44742</v>
      </c>
      <c r="J458" t="s">
        <v>119</v>
      </c>
      <c r="K458" t="s">
        <v>122</v>
      </c>
      <c r="L458" s="22">
        <v>0</v>
      </c>
      <c r="M458" s="8" t="s">
        <v>124</v>
      </c>
      <c r="N458" s="21" t="s">
        <v>127</v>
      </c>
      <c r="O458" s="8" t="s">
        <v>125</v>
      </c>
    </row>
    <row r="459" spans="1:15" ht="15" x14ac:dyDescent="0.25">
      <c r="A459" t="s">
        <v>136</v>
      </c>
      <c r="B459" s="8" t="s">
        <v>182</v>
      </c>
      <c r="C459">
        <v>901.13</v>
      </c>
      <c r="D459" s="8" t="s">
        <v>182</v>
      </c>
      <c r="E459" t="s">
        <v>113</v>
      </c>
      <c r="F459" t="s">
        <v>19</v>
      </c>
      <c r="G459" t="s">
        <v>162</v>
      </c>
      <c r="H459" s="8" t="s">
        <v>115</v>
      </c>
      <c r="I459" s="5">
        <v>44742</v>
      </c>
      <c r="J459" t="s">
        <v>114</v>
      </c>
      <c r="K459" t="s">
        <v>113</v>
      </c>
      <c r="L459" s="22" t="s">
        <v>58</v>
      </c>
      <c r="M459" s="8" t="s">
        <v>124</v>
      </c>
      <c r="N459" s="21" t="s">
        <v>127</v>
      </c>
    </row>
    <row r="460" spans="1:15" ht="15" x14ac:dyDescent="0.25">
      <c r="A460" t="s">
        <v>136</v>
      </c>
      <c r="B460" s="8" t="s">
        <v>182</v>
      </c>
      <c r="C460">
        <v>901.13</v>
      </c>
      <c r="D460" s="8" t="s">
        <v>182</v>
      </c>
      <c r="E460" t="s">
        <v>113</v>
      </c>
      <c r="F460" t="s">
        <v>19</v>
      </c>
      <c r="G460" t="s">
        <v>162</v>
      </c>
      <c r="H460" s="8" t="s">
        <v>115</v>
      </c>
      <c r="I460" s="5">
        <v>44742</v>
      </c>
      <c r="J460" t="s">
        <v>114</v>
      </c>
      <c r="K460" t="s">
        <v>113</v>
      </c>
      <c r="L460" s="22">
        <v>0</v>
      </c>
      <c r="M460" s="8" t="s">
        <v>124</v>
      </c>
      <c r="N460" s="21" t="s">
        <v>127</v>
      </c>
      <c r="O460" s="8" t="s">
        <v>125</v>
      </c>
    </row>
    <row r="461" spans="1:15" ht="15" x14ac:dyDescent="0.25">
      <c r="A461" t="s">
        <v>136</v>
      </c>
      <c r="B461" s="8" t="s">
        <v>182</v>
      </c>
      <c r="C461">
        <v>901.13</v>
      </c>
      <c r="D461" s="8" t="s">
        <v>182</v>
      </c>
      <c r="E461" t="s">
        <v>113</v>
      </c>
      <c r="F461" t="s">
        <v>19</v>
      </c>
      <c r="G461" t="s">
        <v>172</v>
      </c>
      <c r="H461" s="8" t="s">
        <v>115</v>
      </c>
      <c r="I461" s="5">
        <v>44742</v>
      </c>
      <c r="J461" t="s">
        <v>114</v>
      </c>
      <c r="K461" t="s">
        <v>113</v>
      </c>
      <c r="L461" s="22" t="s">
        <v>58</v>
      </c>
      <c r="M461" s="8" t="s">
        <v>124</v>
      </c>
      <c r="N461" s="21" t="s">
        <v>127</v>
      </c>
    </row>
    <row r="462" spans="1:15" ht="15" x14ac:dyDescent="0.25">
      <c r="A462" t="s">
        <v>136</v>
      </c>
      <c r="B462" s="8" t="s">
        <v>182</v>
      </c>
      <c r="C462">
        <v>901.13</v>
      </c>
      <c r="D462" s="8" t="s">
        <v>182</v>
      </c>
      <c r="E462" t="s">
        <v>113</v>
      </c>
      <c r="F462" t="s">
        <v>19</v>
      </c>
      <c r="G462" t="s">
        <v>172</v>
      </c>
      <c r="H462" s="8" t="s">
        <v>115</v>
      </c>
      <c r="I462" s="5">
        <v>44742</v>
      </c>
      <c r="J462" t="s">
        <v>114</v>
      </c>
      <c r="K462" t="s">
        <v>113</v>
      </c>
      <c r="L462" s="22">
        <v>0</v>
      </c>
      <c r="M462" s="8" t="s">
        <v>124</v>
      </c>
      <c r="N462" s="21" t="s">
        <v>127</v>
      </c>
      <c r="O462" s="8" t="s">
        <v>125</v>
      </c>
    </row>
    <row r="463" spans="1:15" ht="15" x14ac:dyDescent="0.25">
      <c r="A463" t="s">
        <v>136</v>
      </c>
      <c r="B463" s="8" t="s">
        <v>182</v>
      </c>
      <c r="C463">
        <v>901.13</v>
      </c>
      <c r="D463" s="8" t="s">
        <v>182</v>
      </c>
      <c r="E463" t="s">
        <v>121</v>
      </c>
      <c r="F463" t="s">
        <v>19</v>
      </c>
      <c r="G463" t="s">
        <v>175</v>
      </c>
      <c r="H463" s="8" t="s">
        <v>115</v>
      </c>
      <c r="I463" s="5">
        <v>44742</v>
      </c>
      <c r="J463" t="s">
        <v>23</v>
      </c>
      <c r="K463" t="s">
        <v>121</v>
      </c>
      <c r="L463" s="22">
        <v>0</v>
      </c>
      <c r="M463" s="8" t="s">
        <v>124</v>
      </c>
      <c r="N463" s="21" t="s">
        <v>127</v>
      </c>
      <c r="O463" s="8" t="s">
        <v>125</v>
      </c>
    </row>
    <row r="464" spans="1:15" ht="15" x14ac:dyDescent="0.25">
      <c r="A464" t="s">
        <v>136</v>
      </c>
      <c r="B464" s="8" t="s">
        <v>182</v>
      </c>
      <c r="C464">
        <v>901.13</v>
      </c>
      <c r="D464" s="8" t="s">
        <v>182</v>
      </c>
      <c r="E464" t="s">
        <v>121</v>
      </c>
      <c r="F464" t="s">
        <v>19</v>
      </c>
      <c r="G464" t="s">
        <v>176</v>
      </c>
      <c r="H464" s="8" t="s">
        <v>115</v>
      </c>
      <c r="I464" s="5">
        <v>44742</v>
      </c>
      <c r="J464" t="s">
        <v>23</v>
      </c>
      <c r="K464" t="s">
        <v>121</v>
      </c>
      <c r="L464" s="22">
        <v>2.5999999999999999E-2</v>
      </c>
      <c r="M464" s="8" t="s">
        <v>124</v>
      </c>
      <c r="N464" s="21" t="s">
        <v>127</v>
      </c>
      <c r="O464" s="8" t="s">
        <v>125</v>
      </c>
    </row>
    <row r="465" spans="1:15" ht="15" x14ac:dyDescent="0.25">
      <c r="A465" t="s">
        <v>136</v>
      </c>
      <c r="B465" s="8" t="s">
        <v>182</v>
      </c>
      <c r="C465">
        <v>901.13</v>
      </c>
      <c r="D465" s="8" t="s">
        <v>182</v>
      </c>
      <c r="E465" t="s">
        <v>121</v>
      </c>
      <c r="F465" t="s">
        <v>19</v>
      </c>
      <c r="G465" t="s">
        <v>176</v>
      </c>
      <c r="H465" s="8" t="s">
        <v>115</v>
      </c>
      <c r="I465" s="5">
        <v>44742</v>
      </c>
      <c r="J465" t="s">
        <v>23</v>
      </c>
      <c r="K465" t="s">
        <v>121</v>
      </c>
      <c r="L465" s="22">
        <v>8.4000000000000005E-2</v>
      </c>
      <c r="M465" s="8" t="s">
        <v>124</v>
      </c>
      <c r="N465" s="21" t="s">
        <v>127</v>
      </c>
      <c r="O465" s="8" t="s">
        <v>125</v>
      </c>
    </row>
    <row r="466" spans="1:15" ht="15" x14ac:dyDescent="0.25">
      <c r="A466" t="s">
        <v>136</v>
      </c>
      <c r="B466" s="8" t="s">
        <v>182</v>
      </c>
      <c r="C466">
        <v>901.13</v>
      </c>
      <c r="D466" s="8" t="s">
        <v>182</v>
      </c>
      <c r="E466" t="s">
        <v>113</v>
      </c>
      <c r="F466" t="s">
        <v>19</v>
      </c>
      <c r="G466" t="s">
        <v>180</v>
      </c>
      <c r="H466" s="8" t="s">
        <v>115</v>
      </c>
      <c r="I466" s="5">
        <v>44742</v>
      </c>
      <c r="J466" t="s">
        <v>114</v>
      </c>
      <c r="K466" t="s">
        <v>113</v>
      </c>
      <c r="L466" s="22">
        <v>0</v>
      </c>
      <c r="M466" s="8" t="s">
        <v>124</v>
      </c>
      <c r="N466" s="21" t="s">
        <v>127</v>
      </c>
      <c r="O466" s="8" t="s">
        <v>125</v>
      </c>
    </row>
    <row r="467" spans="1:15" ht="15" x14ac:dyDescent="0.25">
      <c r="A467" t="s">
        <v>137</v>
      </c>
      <c r="B467" s="8" t="s">
        <v>182</v>
      </c>
      <c r="C467">
        <v>901.13</v>
      </c>
      <c r="D467" s="8" t="s">
        <v>182</v>
      </c>
      <c r="E467" t="s">
        <v>121</v>
      </c>
      <c r="F467" t="s">
        <v>19</v>
      </c>
      <c r="G467" t="s">
        <v>142</v>
      </c>
      <c r="H467" s="8" t="s">
        <v>115</v>
      </c>
      <c r="I467" s="5">
        <v>44743</v>
      </c>
      <c r="J467" t="s">
        <v>23</v>
      </c>
      <c r="K467" t="s">
        <v>121</v>
      </c>
      <c r="L467" s="22">
        <v>2E-3</v>
      </c>
      <c r="M467" s="8" t="s">
        <v>124</v>
      </c>
      <c r="N467" s="21" t="s">
        <v>127</v>
      </c>
      <c r="O467" s="8" t="s">
        <v>125</v>
      </c>
    </row>
    <row r="468" spans="1:15" ht="15" x14ac:dyDescent="0.25">
      <c r="A468" t="s">
        <v>137</v>
      </c>
      <c r="B468" s="8" t="s">
        <v>182</v>
      </c>
      <c r="C468">
        <v>901.13</v>
      </c>
      <c r="D468" s="8" t="s">
        <v>182</v>
      </c>
      <c r="E468" t="s">
        <v>121</v>
      </c>
      <c r="F468" t="s">
        <v>19</v>
      </c>
      <c r="G468" t="s">
        <v>142</v>
      </c>
      <c r="H468" s="8" t="s">
        <v>115</v>
      </c>
      <c r="I468" s="5">
        <v>44743</v>
      </c>
      <c r="J468" t="s">
        <v>23</v>
      </c>
      <c r="K468" t="s">
        <v>121</v>
      </c>
      <c r="L468" s="22">
        <v>2E-3</v>
      </c>
      <c r="M468" s="8" t="s">
        <v>124</v>
      </c>
      <c r="N468" s="21" t="s">
        <v>127</v>
      </c>
      <c r="O468" s="8" t="s">
        <v>125</v>
      </c>
    </row>
    <row r="469" spans="1:15" ht="15" x14ac:dyDescent="0.25">
      <c r="A469" t="s">
        <v>138</v>
      </c>
      <c r="B469" s="8" t="s">
        <v>182</v>
      </c>
      <c r="C469">
        <v>901.13</v>
      </c>
      <c r="D469" s="8" t="s">
        <v>182</v>
      </c>
      <c r="E469" t="s">
        <v>121</v>
      </c>
      <c r="F469" t="s">
        <v>19</v>
      </c>
      <c r="G469" t="s">
        <v>145</v>
      </c>
      <c r="H469" s="8" t="s">
        <v>115</v>
      </c>
      <c r="I469" s="5">
        <v>44743</v>
      </c>
      <c r="J469" t="s">
        <v>23</v>
      </c>
      <c r="K469" t="s">
        <v>121</v>
      </c>
      <c r="L469" s="22">
        <v>1E-3</v>
      </c>
      <c r="M469" s="8" t="s">
        <v>124</v>
      </c>
      <c r="N469" s="21" t="s">
        <v>127</v>
      </c>
      <c r="O469" s="8" t="s">
        <v>125</v>
      </c>
    </row>
    <row r="470" spans="1:15" ht="15" x14ac:dyDescent="0.25">
      <c r="A470" t="s">
        <v>138</v>
      </c>
      <c r="B470" s="8" t="s">
        <v>182</v>
      </c>
      <c r="C470">
        <v>901.13</v>
      </c>
      <c r="D470" s="8" t="s">
        <v>182</v>
      </c>
      <c r="E470" t="s">
        <v>121</v>
      </c>
      <c r="F470" t="s">
        <v>19</v>
      </c>
      <c r="G470" t="s">
        <v>145</v>
      </c>
      <c r="H470" s="8" t="s">
        <v>115</v>
      </c>
      <c r="I470" s="5">
        <v>44743</v>
      </c>
      <c r="J470" t="s">
        <v>23</v>
      </c>
      <c r="K470" t="s">
        <v>121</v>
      </c>
      <c r="L470" s="22">
        <v>0</v>
      </c>
      <c r="M470" s="8" t="s">
        <v>124</v>
      </c>
      <c r="N470" s="21" t="s">
        <v>127</v>
      </c>
      <c r="O470" s="8" t="s">
        <v>125</v>
      </c>
    </row>
    <row r="471" spans="1:15" ht="15" x14ac:dyDescent="0.25">
      <c r="A471" t="s">
        <v>138</v>
      </c>
      <c r="B471" s="8" t="s">
        <v>182</v>
      </c>
      <c r="C471">
        <v>901.13</v>
      </c>
      <c r="D471" s="8" t="s">
        <v>182</v>
      </c>
      <c r="E471" t="s">
        <v>121</v>
      </c>
      <c r="F471" t="s">
        <v>19</v>
      </c>
      <c r="G471" t="s">
        <v>156</v>
      </c>
      <c r="H471" s="8" t="s">
        <v>115</v>
      </c>
      <c r="I471" s="5">
        <v>44743</v>
      </c>
      <c r="J471" t="s">
        <v>23</v>
      </c>
      <c r="K471" t="s">
        <v>121</v>
      </c>
      <c r="L471" s="22">
        <v>1.2999999999999999E-2</v>
      </c>
      <c r="M471" s="8" t="s">
        <v>124</v>
      </c>
      <c r="N471" s="21" t="s">
        <v>127</v>
      </c>
      <c r="O471" s="8" t="s">
        <v>125</v>
      </c>
    </row>
    <row r="472" spans="1:15" ht="15" x14ac:dyDescent="0.25">
      <c r="A472" t="s">
        <v>138</v>
      </c>
      <c r="B472" s="8" t="s">
        <v>182</v>
      </c>
      <c r="C472">
        <v>901.13</v>
      </c>
      <c r="D472" s="8" t="s">
        <v>182</v>
      </c>
      <c r="E472" t="s">
        <v>121</v>
      </c>
      <c r="F472" t="s">
        <v>19</v>
      </c>
      <c r="G472" t="s">
        <v>156</v>
      </c>
      <c r="H472" s="8" t="s">
        <v>115</v>
      </c>
      <c r="I472" s="5">
        <v>44743</v>
      </c>
      <c r="J472" t="s">
        <v>23</v>
      </c>
      <c r="K472" t="s">
        <v>121</v>
      </c>
      <c r="L472" s="22">
        <v>0.02</v>
      </c>
      <c r="M472" s="8" t="s">
        <v>124</v>
      </c>
      <c r="N472" s="21" t="s">
        <v>127</v>
      </c>
      <c r="O472" s="8" t="s">
        <v>125</v>
      </c>
    </row>
    <row r="473" spans="1:15" ht="15" x14ac:dyDescent="0.25">
      <c r="A473" t="s">
        <v>137</v>
      </c>
      <c r="B473" s="8" t="s">
        <v>182</v>
      </c>
      <c r="C473">
        <v>901.13</v>
      </c>
      <c r="D473" s="8" t="s">
        <v>182</v>
      </c>
      <c r="E473" t="s">
        <v>121</v>
      </c>
      <c r="F473" t="s">
        <v>19</v>
      </c>
      <c r="G473" t="s">
        <v>170</v>
      </c>
      <c r="H473" s="8" t="s">
        <v>115</v>
      </c>
      <c r="I473" s="5">
        <v>44743</v>
      </c>
      <c r="J473" t="s">
        <v>23</v>
      </c>
      <c r="K473" t="s">
        <v>121</v>
      </c>
      <c r="L473" s="22">
        <v>0</v>
      </c>
      <c r="M473" s="8" t="s">
        <v>124</v>
      </c>
      <c r="N473" s="21" t="s">
        <v>127</v>
      </c>
      <c r="O473" s="8" t="s">
        <v>125</v>
      </c>
    </row>
    <row r="474" spans="1:15" ht="15" x14ac:dyDescent="0.25">
      <c r="A474" t="s">
        <v>138</v>
      </c>
      <c r="B474" s="8" t="s">
        <v>182</v>
      </c>
      <c r="C474">
        <v>901.13</v>
      </c>
      <c r="D474" s="8" t="s">
        <v>182</v>
      </c>
      <c r="E474" t="s">
        <v>113</v>
      </c>
      <c r="F474" t="s">
        <v>19</v>
      </c>
      <c r="G474" t="s">
        <v>171</v>
      </c>
      <c r="H474" s="8" t="s">
        <v>115</v>
      </c>
      <c r="I474" s="5">
        <v>44743</v>
      </c>
      <c r="J474" t="s">
        <v>114</v>
      </c>
      <c r="K474" t="s">
        <v>113</v>
      </c>
      <c r="L474" s="22">
        <v>0</v>
      </c>
      <c r="M474" s="8" t="s">
        <v>124</v>
      </c>
      <c r="N474" s="21" t="s">
        <v>127</v>
      </c>
      <c r="O474" s="8" t="s">
        <v>125</v>
      </c>
    </row>
    <row r="475" spans="1:15" ht="15" x14ac:dyDescent="0.25">
      <c r="A475" t="s">
        <v>140</v>
      </c>
      <c r="B475" s="8" t="s">
        <v>182</v>
      </c>
      <c r="C475">
        <v>901.13</v>
      </c>
      <c r="D475" s="8" t="s">
        <v>182</v>
      </c>
      <c r="E475" t="s">
        <v>113</v>
      </c>
      <c r="F475" t="s">
        <v>19</v>
      </c>
      <c r="G475" t="s">
        <v>177</v>
      </c>
      <c r="H475" s="8" t="s">
        <v>115</v>
      </c>
      <c r="I475" s="5">
        <v>44743</v>
      </c>
      <c r="J475" t="s">
        <v>119</v>
      </c>
      <c r="K475" t="s">
        <v>113</v>
      </c>
      <c r="L475" s="22" t="s">
        <v>58</v>
      </c>
      <c r="M475" s="8" t="s">
        <v>124</v>
      </c>
      <c r="N475" s="21" t="s">
        <v>127</v>
      </c>
    </row>
    <row r="476" spans="1:15" ht="15" x14ac:dyDescent="0.25">
      <c r="A476" t="s">
        <v>140</v>
      </c>
      <c r="B476" s="8" t="s">
        <v>182</v>
      </c>
      <c r="C476">
        <v>901.13</v>
      </c>
      <c r="D476" s="8" t="s">
        <v>182</v>
      </c>
      <c r="E476" t="s">
        <v>113</v>
      </c>
      <c r="F476" t="s">
        <v>19</v>
      </c>
      <c r="G476" t="s">
        <v>177</v>
      </c>
      <c r="H476" s="8" t="s">
        <v>115</v>
      </c>
      <c r="I476" s="5">
        <v>44743</v>
      </c>
      <c r="J476" t="s">
        <v>119</v>
      </c>
      <c r="K476" t="s">
        <v>113</v>
      </c>
      <c r="L476" s="22">
        <v>0</v>
      </c>
      <c r="M476" s="8" t="s">
        <v>124</v>
      </c>
      <c r="N476" s="21" t="s">
        <v>127</v>
      </c>
      <c r="O476" s="8" t="s">
        <v>125</v>
      </c>
    </row>
    <row r="477" spans="1:15" ht="15" x14ac:dyDescent="0.25">
      <c r="A477" t="s">
        <v>139</v>
      </c>
      <c r="B477" s="8" t="s">
        <v>182</v>
      </c>
      <c r="C477">
        <v>901.13</v>
      </c>
      <c r="D477" s="8" t="s">
        <v>182</v>
      </c>
      <c r="E477"/>
      <c r="F477" t="s">
        <v>19</v>
      </c>
      <c r="G477" t="s">
        <v>150</v>
      </c>
      <c r="H477" s="8" t="s">
        <v>115</v>
      </c>
      <c r="I477" s="5">
        <v>44750</v>
      </c>
      <c r="J477" t="s">
        <v>23</v>
      </c>
      <c r="K477" t="s">
        <v>121</v>
      </c>
      <c r="L477" s="22">
        <v>6.0000000000000001E-3</v>
      </c>
      <c r="M477" s="8" t="s">
        <v>124</v>
      </c>
      <c r="N477" s="21" t="s">
        <v>127</v>
      </c>
      <c r="O477" s="8" t="s">
        <v>125</v>
      </c>
    </row>
    <row r="478" spans="1:15" ht="15" x14ac:dyDescent="0.25">
      <c r="A478" t="s">
        <v>139</v>
      </c>
      <c r="B478" s="8" t="s">
        <v>182</v>
      </c>
      <c r="C478">
        <v>901.13</v>
      </c>
      <c r="D478" s="8" t="s">
        <v>182</v>
      </c>
      <c r="E478"/>
      <c r="F478" t="s">
        <v>19</v>
      </c>
      <c r="G478" t="s">
        <v>155</v>
      </c>
      <c r="H478" s="8" t="s">
        <v>115</v>
      </c>
      <c r="I478" s="5">
        <v>44750</v>
      </c>
      <c r="J478" t="s">
        <v>23</v>
      </c>
      <c r="K478" t="s">
        <v>121</v>
      </c>
      <c r="L478" s="22" t="s">
        <v>58</v>
      </c>
      <c r="M478" s="8" t="s">
        <v>124</v>
      </c>
      <c r="N478" s="21" t="s">
        <v>127</v>
      </c>
    </row>
    <row r="479" spans="1:15" ht="15" x14ac:dyDescent="0.25">
      <c r="A479" t="s">
        <v>111</v>
      </c>
      <c r="B479" s="8" t="s">
        <v>182</v>
      </c>
      <c r="C479">
        <v>901.13</v>
      </c>
      <c r="D479" s="8" t="s">
        <v>182</v>
      </c>
      <c r="E479" t="s">
        <v>121</v>
      </c>
      <c r="F479" t="s">
        <v>19</v>
      </c>
      <c r="G479" t="s">
        <v>169</v>
      </c>
      <c r="H479" s="8" t="s">
        <v>115</v>
      </c>
      <c r="I479" s="5">
        <v>44750</v>
      </c>
      <c r="J479" t="s">
        <v>119</v>
      </c>
      <c r="K479" t="s">
        <v>121</v>
      </c>
      <c r="L479" s="22">
        <v>0</v>
      </c>
      <c r="M479" s="8" t="s">
        <v>124</v>
      </c>
      <c r="N479" s="21" t="s">
        <v>127</v>
      </c>
      <c r="O479" s="8" t="s">
        <v>125</v>
      </c>
    </row>
    <row r="480" spans="1:15" ht="15" x14ac:dyDescent="0.25">
      <c r="A480" t="s">
        <v>138</v>
      </c>
      <c r="B480" s="8" t="s">
        <v>182</v>
      </c>
      <c r="C480">
        <v>901.13</v>
      </c>
      <c r="D480" s="8" t="s">
        <v>182</v>
      </c>
      <c r="E480" t="s">
        <v>121</v>
      </c>
      <c r="F480" t="s">
        <v>19</v>
      </c>
      <c r="G480" t="s">
        <v>146</v>
      </c>
      <c r="H480" s="8" t="s">
        <v>115</v>
      </c>
      <c r="I480" s="5">
        <v>44755</v>
      </c>
      <c r="J480" t="s">
        <v>23</v>
      </c>
      <c r="K480" t="s">
        <v>121</v>
      </c>
      <c r="L480" s="22">
        <v>1.0999999999999999E-2</v>
      </c>
      <c r="M480" s="8" t="s">
        <v>124</v>
      </c>
      <c r="N480" s="21" t="s">
        <v>127</v>
      </c>
      <c r="O480" s="8" t="s">
        <v>125</v>
      </c>
    </row>
    <row r="481" spans="1:15" ht="15" x14ac:dyDescent="0.25">
      <c r="A481" t="s">
        <v>138</v>
      </c>
      <c r="B481" s="8" t="s">
        <v>182</v>
      </c>
      <c r="C481">
        <v>901.13</v>
      </c>
      <c r="D481" s="8" t="s">
        <v>182</v>
      </c>
      <c r="E481" t="s">
        <v>121</v>
      </c>
      <c r="F481" t="s">
        <v>19</v>
      </c>
      <c r="G481" t="s">
        <v>146</v>
      </c>
      <c r="H481" s="8" t="s">
        <v>115</v>
      </c>
      <c r="I481" s="5">
        <v>44755</v>
      </c>
      <c r="J481" t="s">
        <v>23</v>
      </c>
      <c r="K481" t="s">
        <v>121</v>
      </c>
      <c r="L481" s="22">
        <v>1.2999999999999999E-2</v>
      </c>
      <c r="M481" s="8" t="s">
        <v>124</v>
      </c>
      <c r="N481" s="21" t="s">
        <v>127</v>
      </c>
      <c r="O481" s="8" t="s">
        <v>125</v>
      </c>
    </row>
    <row r="482" spans="1:15" ht="15" x14ac:dyDescent="0.25">
      <c r="A482" t="s">
        <v>138</v>
      </c>
      <c r="B482" s="8" t="s">
        <v>182</v>
      </c>
      <c r="C482">
        <v>901.13</v>
      </c>
      <c r="D482" s="8" t="s">
        <v>182</v>
      </c>
      <c r="E482" t="s">
        <v>113</v>
      </c>
      <c r="F482" t="s">
        <v>19</v>
      </c>
      <c r="G482" t="s">
        <v>147</v>
      </c>
      <c r="H482" s="8" t="s">
        <v>115</v>
      </c>
      <c r="I482" s="5">
        <v>44755</v>
      </c>
      <c r="J482" t="s">
        <v>114</v>
      </c>
      <c r="K482" t="s">
        <v>113</v>
      </c>
      <c r="L482" s="22" t="s">
        <v>58</v>
      </c>
      <c r="M482" s="8" t="s">
        <v>124</v>
      </c>
      <c r="N482" s="21" t="s">
        <v>127</v>
      </c>
    </row>
    <row r="483" spans="1:15" ht="15" x14ac:dyDescent="0.25">
      <c r="A483" t="s">
        <v>138</v>
      </c>
      <c r="B483" s="8" t="s">
        <v>182</v>
      </c>
      <c r="C483">
        <v>901.13</v>
      </c>
      <c r="D483" s="8" t="s">
        <v>182</v>
      </c>
      <c r="E483" t="s">
        <v>121</v>
      </c>
      <c r="F483" t="s">
        <v>19</v>
      </c>
      <c r="G483" t="s">
        <v>151</v>
      </c>
      <c r="H483" s="8" t="s">
        <v>115</v>
      </c>
      <c r="I483" s="5">
        <v>44755</v>
      </c>
      <c r="J483" t="s">
        <v>23</v>
      </c>
      <c r="K483" t="s">
        <v>121</v>
      </c>
      <c r="L483" s="22">
        <v>0</v>
      </c>
      <c r="M483" s="8" t="s">
        <v>124</v>
      </c>
      <c r="N483" s="21" t="s">
        <v>127</v>
      </c>
      <c r="O483" s="8" t="s">
        <v>125</v>
      </c>
    </row>
    <row r="484" spans="1:15" ht="15" x14ac:dyDescent="0.25">
      <c r="A484" t="s">
        <v>138</v>
      </c>
      <c r="B484" s="8" t="s">
        <v>182</v>
      </c>
      <c r="C484">
        <v>901.13</v>
      </c>
      <c r="D484" s="8" t="s">
        <v>182</v>
      </c>
      <c r="E484" t="s">
        <v>121</v>
      </c>
      <c r="F484" t="s">
        <v>19</v>
      </c>
      <c r="G484" t="s">
        <v>151</v>
      </c>
      <c r="H484" s="8" t="s">
        <v>115</v>
      </c>
      <c r="I484" s="5">
        <v>44755</v>
      </c>
      <c r="J484" t="s">
        <v>23</v>
      </c>
      <c r="K484" t="s">
        <v>121</v>
      </c>
      <c r="L484" s="22">
        <v>1E-3</v>
      </c>
      <c r="M484" s="8" t="s">
        <v>124</v>
      </c>
      <c r="N484" s="21" t="s">
        <v>127</v>
      </c>
      <c r="O484" s="8" t="s">
        <v>125</v>
      </c>
    </row>
    <row r="485" spans="1:15" ht="15" x14ac:dyDescent="0.25">
      <c r="A485" t="s">
        <v>139</v>
      </c>
      <c r="B485" s="8" t="s">
        <v>182</v>
      </c>
      <c r="C485">
        <v>901.13</v>
      </c>
      <c r="D485" s="8" t="s">
        <v>182</v>
      </c>
      <c r="E485" t="s">
        <v>121</v>
      </c>
      <c r="F485" t="s">
        <v>19</v>
      </c>
      <c r="G485" t="s">
        <v>161</v>
      </c>
      <c r="H485" s="8" t="s">
        <v>115</v>
      </c>
      <c r="I485" s="5">
        <v>44755</v>
      </c>
      <c r="J485" t="s">
        <v>23</v>
      </c>
      <c r="K485" t="s">
        <v>121</v>
      </c>
      <c r="L485" s="22">
        <v>7.3499999999999996E-2</v>
      </c>
      <c r="M485" s="8" t="s">
        <v>124</v>
      </c>
      <c r="N485" s="21" t="s">
        <v>127</v>
      </c>
      <c r="O485" s="8" t="s">
        <v>126</v>
      </c>
    </row>
    <row r="486" spans="1:15" ht="15" x14ac:dyDescent="0.25">
      <c r="A486" t="s">
        <v>138</v>
      </c>
      <c r="B486" s="8" t="s">
        <v>182</v>
      </c>
      <c r="C486">
        <v>901.13</v>
      </c>
      <c r="D486" s="8" t="s">
        <v>182</v>
      </c>
      <c r="E486" t="s">
        <v>121</v>
      </c>
      <c r="F486" t="s">
        <v>19</v>
      </c>
      <c r="G486" t="s">
        <v>164</v>
      </c>
      <c r="H486" s="8" t="s">
        <v>115</v>
      </c>
      <c r="I486" s="5">
        <v>44755</v>
      </c>
      <c r="J486" t="s">
        <v>23</v>
      </c>
      <c r="K486" t="s">
        <v>121</v>
      </c>
      <c r="L486" s="22">
        <v>0</v>
      </c>
      <c r="M486" s="8" t="s">
        <v>124</v>
      </c>
      <c r="N486" s="21" t="s">
        <v>127</v>
      </c>
      <c r="O486" s="8" t="s">
        <v>125</v>
      </c>
    </row>
    <row r="487" spans="1:15" ht="15" x14ac:dyDescent="0.25">
      <c r="A487" t="s">
        <v>138</v>
      </c>
      <c r="B487" s="8" t="s">
        <v>182</v>
      </c>
      <c r="C487">
        <v>901.13</v>
      </c>
      <c r="D487" s="8" t="s">
        <v>182</v>
      </c>
      <c r="E487" t="s">
        <v>123</v>
      </c>
      <c r="F487" t="s">
        <v>19</v>
      </c>
      <c r="G487" t="s">
        <v>165</v>
      </c>
      <c r="H487" s="8" t="s">
        <v>115</v>
      </c>
      <c r="I487" s="5">
        <v>44755</v>
      </c>
      <c r="J487" t="s">
        <v>23</v>
      </c>
      <c r="K487" t="s">
        <v>123</v>
      </c>
      <c r="L487" s="22">
        <v>8.0000000000000002E-3</v>
      </c>
      <c r="M487" s="8" t="s">
        <v>124</v>
      </c>
      <c r="N487" s="21" t="s">
        <v>127</v>
      </c>
      <c r="O487" s="8" t="s">
        <v>125</v>
      </c>
    </row>
    <row r="488" spans="1:15" ht="15" x14ac:dyDescent="0.25">
      <c r="A488" t="s">
        <v>138</v>
      </c>
      <c r="B488" s="8" t="s">
        <v>182</v>
      </c>
      <c r="C488">
        <v>901.13</v>
      </c>
      <c r="D488" s="8" t="s">
        <v>182</v>
      </c>
      <c r="E488" t="s">
        <v>123</v>
      </c>
      <c r="F488" t="s">
        <v>19</v>
      </c>
      <c r="G488" t="s">
        <v>165</v>
      </c>
      <c r="H488" s="8" t="s">
        <v>115</v>
      </c>
      <c r="I488" s="5">
        <v>44755</v>
      </c>
      <c r="J488" t="s">
        <v>23</v>
      </c>
      <c r="K488" t="s">
        <v>123</v>
      </c>
      <c r="L488" s="22">
        <v>2.1999999999999999E-2</v>
      </c>
      <c r="M488" s="8" t="s">
        <v>124</v>
      </c>
      <c r="N488" s="21" t="s">
        <v>127</v>
      </c>
      <c r="O488" s="8" t="s">
        <v>125</v>
      </c>
    </row>
    <row r="489" spans="1:15" ht="15" x14ac:dyDescent="0.25">
      <c r="A489" t="s">
        <v>139</v>
      </c>
      <c r="B489" s="8" t="s">
        <v>182</v>
      </c>
      <c r="C489">
        <v>901.13</v>
      </c>
      <c r="D489" s="8" t="s">
        <v>182</v>
      </c>
      <c r="E489" t="s">
        <v>121</v>
      </c>
      <c r="F489" t="s">
        <v>19</v>
      </c>
      <c r="G489" t="s">
        <v>166</v>
      </c>
      <c r="H489" s="8" t="s">
        <v>115</v>
      </c>
      <c r="I489" s="5">
        <v>44755</v>
      </c>
      <c r="J489" t="s">
        <v>23</v>
      </c>
      <c r="K489" t="s">
        <v>121</v>
      </c>
      <c r="L489" s="22">
        <v>0</v>
      </c>
      <c r="M489" s="8" t="s">
        <v>124</v>
      </c>
      <c r="N489" s="21" t="s">
        <v>127</v>
      </c>
      <c r="O489" s="8" t="s">
        <v>125</v>
      </c>
    </row>
    <row r="490" spans="1:15" ht="15" x14ac:dyDescent="0.25">
      <c r="A490" t="s">
        <v>138</v>
      </c>
      <c r="B490" s="8" t="s">
        <v>182</v>
      </c>
      <c r="C490">
        <v>901.13</v>
      </c>
      <c r="D490" s="8" t="s">
        <v>182</v>
      </c>
      <c r="E490" t="s">
        <v>113</v>
      </c>
      <c r="F490" t="s">
        <v>19</v>
      </c>
      <c r="G490" t="s">
        <v>167</v>
      </c>
      <c r="H490" s="8" t="s">
        <v>115</v>
      </c>
      <c r="I490" s="5">
        <v>44755</v>
      </c>
      <c r="J490" t="s">
        <v>119</v>
      </c>
      <c r="K490" t="s">
        <v>113</v>
      </c>
      <c r="L490" s="22" t="s">
        <v>58</v>
      </c>
      <c r="M490" s="8" t="s">
        <v>124</v>
      </c>
      <c r="N490" s="21" t="s">
        <v>127</v>
      </c>
    </row>
    <row r="491" spans="1:15" ht="15" x14ac:dyDescent="0.25">
      <c r="A491" t="s">
        <v>138</v>
      </c>
      <c r="B491" s="8" t="s">
        <v>182</v>
      </c>
      <c r="C491">
        <v>901.13</v>
      </c>
      <c r="D491" s="8" t="s">
        <v>182</v>
      </c>
      <c r="E491" t="s">
        <v>113</v>
      </c>
      <c r="F491" t="s">
        <v>19</v>
      </c>
      <c r="G491" t="s">
        <v>167</v>
      </c>
      <c r="H491" s="8" t="s">
        <v>115</v>
      </c>
      <c r="I491" s="5">
        <v>44755</v>
      </c>
      <c r="J491" t="s">
        <v>119</v>
      </c>
      <c r="K491" t="s">
        <v>113</v>
      </c>
      <c r="L491" s="22">
        <v>0</v>
      </c>
      <c r="M491" s="8" t="s">
        <v>124</v>
      </c>
      <c r="N491" s="21" t="s">
        <v>127</v>
      </c>
      <c r="O491" s="8" t="s">
        <v>125</v>
      </c>
    </row>
    <row r="492" spans="1:15" ht="15" x14ac:dyDescent="0.25">
      <c r="A492" t="s">
        <v>138</v>
      </c>
      <c r="B492" s="8" t="s">
        <v>182</v>
      </c>
      <c r="C492">
        <v>901.13</v>
      </c>
      <c r="D492" s="8" t="s">
        <v>182</v>
      </c>
      <c r="E492" t="s">
        <v>121</v>
      </c>
      <c r="F492" t="s">
        <v>19</v>
      </c>
      <c r="G492" t="s">
        <v>173</v>
      </c>
      <c r="H492" s="8" t="s">
        <v>115</v>
      </c>
      <c r="I492" s="5">
        <v>44755</v>
      </c>
      <c r="J492" t="s">
        <v>23</v>
      </c>
      <c r="K492" t="s">
        <v>121</v>
      </c>
      <c r="L492" s="22">
        <v>2E-3</v>
      </c>
      <c r="M492" s="8" t="s">
        <v>124</v>
      </c>
      <c r="N492" s="21" t="s">
        <v>127</v>
      </c>
      <c r="O492" s="8" t="s">
        <v>125</v>
      </c>
    </row>
    <row r="493" spans="1:15" ht="15" x14ac:dyDescent="0.25">
      <c r="A493" t="s">
        <v>139</v>
      </c>
      <c r="B493" s="8" t="s">
        <v>182</v>
      </c>
      <c r="C493">
        <v>901.13</v>
      </c>
      <c r="D493" s="8" t="s">
        <v>182</v>
      </c>
      <c r="E493" t="s">
        <v>121</v>
      </c>
      <c r="F493" t="s">
        <v>19</v>
      </c>
      <c r="G493" t="s">
        <v>181</v>
      </c>
      <c r="H493" s="8" t="s">
        <v>115</v>
      </c>
      <c r="I493" s="5">
        <v>44755</v>
      </c>
      <c r="J493" t="s">
        <v>119</v>
      </c>
      <c r="K493" t="s">
        <v>121</v>
      </c>
      <c r="L493" s="22">
        <v>6.0000000000000001E-3</v>
      </c>
      <c r="M493" s="8" t="s">
        <v>124</v>
      </c>
      <c r="N493" s="21" t="s">
        <v>127</v>
      </c>
      <c r="O493" s="8" t="s">
        <v>125</v>
      </c>
    </row>
    <row r="494" spans="1:15" ht="15" x14ac:dyDescent="0.25">
      <c r="A494" t="s">
        <v>139</v>
      </c>
      <c r="B494" s="8" t="s">
        <v>182</v>
      </c>
      <c r="C494">
        <v>901.13</v>
      </c>
      <c r="D494" s="8" t="s">
        <v>182</v>
      </c>
      <c r="E494" t="s">
        <v>121</v>
      </c>
      <c r="F494" t="s">
        <v>19</v>
      </c>
      <c r="G494" t="s">
        <v>181</v>
      </c>
      <c r="H494" s="8" t="s">
        <v>115</v>
      </c>
      <c r="I494" s="5">
        <v>44755</v>
      </c>
      <c r="J494" t="s">
        <v>119</v>
      </c>
      <c r="K494" t="s">
        <v>121</v>
      </c>
      <c r="L494" s="22" t="s">
        <v>58</v>
      </c>
      <c r="M494" s="8" t="s">
        <v>124</v>
      </c>
      <c r="N494" s="21" t="s">
        <v>127</v>
      </c>
    </row>
    <row r="495" spans="1:15" ht="15" x14ac:dyDescent="0.25">
      <c r="A495" t="s">
        <v>136</v>
      </c>
      <c r="B495" s="8" t="s">
        <v>182</v>
      </c>
      <c r="C495">
        <v>901.13</v>
      </c>
      <c r="D495" s="8" t="s">
        <v>182</v>
      </c>
      <c r="E495" t="s">
        <v>121</v>
      </c>
      <c r="F495" t="s">
        <v>19</v>
      </c>
      <c r="G495" t="s">
        <v>153</v>
      </c>
      <c r="H495" s="8" t="s">
        <v>115</v>
      </c>
      <c r="I495" s="5">
        <v>44774</v>
      </c>
      <c r="J495" t="s">
        <v>23</v>
      </c>
      <c r="K495" t="s">
        <v>121</v>
      </c>
      <c r="L495" s="22">
        <v>4.5830000000000003E-3</v>
      </c>
      <c r="M495" s="8" t="s">
        <v>124</v>
      </c>
      <c r="N495" s="21" t="s">
        <v>127</v>
      </c>
      <c r="O495" s="8" t="s">
        <v>126</v>
      </c>
    </row>
    <row r="496" spans="1:15" ht="15" x14ac:dyDescent="0.25">
      <c r="A496" t="s">
        <v>137</v>
      </c>
      <c r="B496" s="8" t="s">
        <v>182</v>
      </c>
      <c r="C496">
        <v>901.13</v>
      </c>
      <c r="D496" s="8" t="s">
        <v>182</v>
      </c>
      <c r="E496" t="s">
        <v>121</v>
      </c>
      <c r="F496" t="s">
        <v>19</v>
      </c>
      <c r="G496" t="s">
        <v>142</v>
      </c>
      <c r="H496" s="8" t="s">
        <v>115</v>
      </c>
      <c r="I496" s="5">
        <v>44782</v>
      </c>
      <c r="J496" t="s">
        <v>23</v>
      </c>
      <c r="K496" t="s">
        <v>121</v>
      </c>
      <c r="L496" s="22">
        <v>1.4999999999999999E-2</v>
      </c>
      <c r="M496" s="8" t="s">
        <v>124</v>
      </c>
      <c r="N496" s="21" t="s">
        <v>127</v>
      </c>
      <c r="O496" s="8" t="s">
        <v>125</v>
      </c>
    </row>
    <row r="497" spans="1:15" ht="15" x14ac:dyDescent="0.25">
      <c r="A497" t="s">
        <v>136</v>
      </c>
      <c r="B497" s="8" t="s">
        <v>182</v>
      </c>
      <c r="C497">
        <v>901.13</v>
      </c>
      <c r="D497" s="8" t="s">
        <v>182</v>
      </c>
      <c r="E497" t="s">
        <v>121</v>
      </c>
      <c r="F497" t="s">
        <v>19</v>
      </c>
      <c r="G497" t="s">
        <v>143</v>
      </c>
      <c r="H497" s="8" t="s">
        <v>115</v>
      </c>
      <c r="I497" s="5">
        <v>44782</v>
      </c>
      <c r="J497" t="s">
        <v>119</v>
      </c>
      <c r="K497" t="s">
        <v>121</v>
      </c>
      <c r="L497" s="22" t="s">
        <v>58</v>
      </c>
      <c r="M497" s="8" t="s">
        <v>124</v>
      </c>
      <c r="N497" s="21" t="s">
        <v>127</v>
      </c>
    </row>
    <row r="498" spans="1:15" ht="15" x14ac:dyDescent="0.25">
      <c r="A498" t="s">
        <v>136</v>
      </c>
      <c r="B498" s="8" t="s">
        <v>182</v>
      </c>
      <c r="C498">
        <v>901.13</v>
      </c>
      <c r="D498" s="8" t="s">
        <v>182</v>
      </c>
      <c r="E498" t="s">
        <v>113</v>
      </c>
      <c r="F498" t="s">
        <v>19</v>
      </c>
      <c r="G498" t="s">
        <v>144</v>
      </c>
      <c r="H498" s="8" t="s">
        <v>115</v>
      </c>
      <c r="I498" s="5">
        <v>44782</v>
      </c>
      <c r="J498" t="s">
        <v>58</v>
      </c>
      <c r="K498" t="s">
        <v>113</v>
      </c>
      <c r="L498" s="22">
        <v>1.3396E-2</v>
      </c>
      <c r="M498" s="8" t="s">
        <v>124</v>
      </c>
      <c r="N498" s="21" t="s">
        <v>127</v>
      </c>
    </row>
    <row r="499" spans="1:15" ht="15" x14ac:dyDescent="0.25">
      <c r="A499" t="s">
        <v>137</v>
      </c>
      <c r="B499" s="8" t="s">
        <v>182</v>
      </c>
      <c r="C499">
        <v>901.13</v>
      </c>
      <c r="D499" s="8" t="s">
        <v>182</v>
      </c>
      <c r="E499" t="s">
        <v>121</v>
      </c>
      <c r="F499" t="s">
        <v>19</v>
      </c>
      <c r="G499" t="s">
        <v>170</v>
      </c>
      <c r="H499" s="8" t="s">
        <v>115</v>
      </c>
      <c r="I499" s="5">
        <v>44782</v>
      </c>
      <c r="J499" t="s">
        <v>23</v>
      </c>
      <c r="K499" t="s">
        <v>121</v>
      </c>
      <c r="L499" s="22">
        <v>7.0000000000000001E-3</v>
      </c>
      <c r="M499" s="8" t="s">
        <v>124</v>
      </c>
      <c r="N499" s="21" t="s">
        <v>127</v>
      </c>
      <c r="O499" s="8" t="s">
        <v>125</v>
      </c>
    </row>
    <row r="500" spans="1:15" ht="15" x14ac:dyDescent="0.25">
      <c r="A500" t="s">
        <v>136</v>
      </c>
      <c r="B500" s="8" t="s">
        <v>182</v>
      </c>
      <c r="C500">
        <v>901.13</v>
      </c>
      <c r="D500" s="8" t="s">
        <v>182</v>
      </c>
      <c r="E500" t="s">
        <v>122</v>
      </c>
      <c r="F500" t="s">
        <v>19</v>
      </c>
      <c r="G500" t="s">
        <v>141</v>
      </c>
      <c r="H500" s="8" t="s">
        <v>115</v>
      </c>
      <c r="I500" s="5">
        <v>44791</v>
      </c>
      <c r="J500" t="s">
        <v>119</v>
      </c>
      <c r="K500" t="s">
        <v>122</v>
      </c>
      <c r="L500" s="22" t="s">
        <v>58</v>
      </c>
      <c r="M500" s="8" t="s">
        <v>124</v>
      </c>
      <c r="N500" s="21" t="s">
        <v>127</v>
      </c>
    </row>
    <row r="501" spans="1:15" ht="15" x14ac:dyDescent="0.25">
      <c r="A501" t="s">
        <v>136</v>
      </c>
      <c r="B501" s="8" t="s">
        <v>182</v>
      </c>
      <c r="C501">
        <v>901.13</v>
      </c>
      <c r="D501" s="8" t="s">
        <v>182</v>
      </c>
      <c r="E501" t="s">
        <v>121</v>
      </c>
      <c r="F501" t="s">
        <v>19</v>
      </c>
      <c r="G501" t="s">
        <v>152</v>
      </c>
      <c r="H501" s="8" t="s">
        <v>115</v>
      </c>
      <c r="I501" s="5">
        <v>44791</v>
      </c>
      <c r="J501" t="s">
        <v>23</v>
      </c>
      <c r="K501" t="s">
        <v>121</v>
      </c>
      <c r="L501" s="22">
        <v>4.8349999999999999E-3</v>
      </c>
      <c r="M501" s="8" t="s">
        <v>124</v>
      </c>
      <c r="N501" s="21" t="s">
        <v>127</v>
      </c>
      <c r="O501" s="8" t="s">
        <v>126</v>
      </c>
    </row>
    <row r="502" spans="1:15" ht="15" x14ac:dyDescent="0.25">
      <c r="A502" t="s">
        <v>136</v>
      </c>
      <c r="B502" s="8" t="s">
        <v>182</v>
      </c>
      <c r="C502">
        <v>901.13</v>
      </c>
      <c r="D502" s="8" t="s">
        <v>182</v>
      </c>
      <c r="E502" t="s">
        <v>122</v>
      </c>
      <c r="F502" t="s">
        <v>19</v>
      </c>
      <c r="G502" t="s">
        <v>158</v>
      </c>
      <c r="H502" s="8" t="s">
        <v>115</v>
      </c>
      <c r="I502" s="5">
        <v>44791</v>
      </c>
      <c r="J502" t="s">
        <v>120</v>
      </c>
      <c r="K502" t="s">
        <v>122</v>
      </c>
      <c r="L502" s="22" t="s">
        <v>58</v>
      </c>
      <c r="M502" s="8" t="s">
        <v>124</v>
      </c>
      <c r="N502" s="21" t="s">
        <v>127</v>
      </c>
    </row>
    <row r="503" spans="1:15" ht="15" x14ac:dyDescent="0.25">
      <c r="A503" t="s">
        <v>139</v>
      </c>
      <c r="B503" s="8" t="s">
        <v>182</v>
      </c>
      <c r="C503">
        <v>901.13</v>
      </c>
      <c r="D503" s="8" t="s">
        <v>182</v>
      </c>
      <c r="E503" t="s">
        <v>121</v>
      </c>
      <c r="F503" t="s">
        <v>19</v>
      </c>
      <c r="G503" t="s">
        <v>161</v>
      </c>
      <c r="H503" s="8" t="s">
        <v>115</v>
      </c>
      <c r="I503" s="5">
        <v>44791</v>
      </c>
      <c r="J503" t="s">
        <v>23</v>
      </c>
      <c r="K503" t="s">
        <v>121</v>
      </c>
      <c r="L503" s="22">
        <v>1.9E-2</v>
      </c>
      <c r="M503" s="8" t="s">
        <v>124</v>
      </c>
      <c r="N503" s="21" t="s">
        <v>127</v>
      </c>
      <c r="O503" s="8" t="s">
        <v>125</v>
      </c>
    </row>
    <row r="504" spans="1:15" ht="15" x14ac:dyDescent="0.25">
      <c r="A504" t="s">
        <v>136</v>
      </c>
      <c r="B504" s="8" t="s">
        <v>182</v>
      </c>
      <c r="C504">
        <v>901.13</v>
      </c>
      <c r="D504" s="8" t="s">
        <v>182</v>
      </c>
      <c r="E504" t="s">
        <v>121</v>
      </c>
      <c r="F504" t="s">
        <v>19</v>
      </c>
      <c r="G504" t="s">
        <v>162</v>
      </c>
      <c r="H504" s="8" t="s">
        <v>115</v>
      </c>
      <c r="I504" s="5">
        <v>44791</v>
      </c>
      <c r="J504" t="s">
        <v>23</v>
      </c>
      <c r="K504" t="s">
        <v>121</v>
      </c>
      <c r="L504" s="22">
        <v>8.2000000000000007E-3</v>
      </c>
      <c r="M504" s="8" t="s">
        <v>124</v>
      </c>
      <c r="N504" s="21" t="s">
        <v>127</v>
      </c>
      <c r="O504" s="8" t="s">
        <v>126</v>
      </c>
    </row>
    <row r="505" spans="1:15" ht="15" x14ac:dyDescent="0.25">
      <c r="A505" t="s">
        <v>136</v>
      </c>
      <c r="B505" s="8" t="s">
        <v>182</v>
      </c>
      <c r="C505">
        <v>901.13</v>
      </c>
      <c r="D505" s="8" t="s">
        <v>182</v>
      </c>
      <c r="E505" t="s">
        <v>121</v>
      </c>
      <c r="F505" t="s">
        <v>19</v>
      </c>
      <c r="G505" t="s">
        <v>172</v>
      </c>
      <c r="H505" s="8" t="s">
        <v>115</v>
      </c>
      <c r="I505" s="5">
        <v>44791</v>
      </c>
      <c r="J505" t="s">
        <v>58</v>
      </c>
      <c r="K505" t="s">
        <v>121</v>
      </c>
      <c r="L505" s="22">
        <v>1E-3</v>
      </c>
      <c r="M505" s="8" t="s">
        <v>124</v>
      </c>
      <c r="N505" s="21" t="s">
        <v>127</v>
      </c>
      <c r="O505" s="8" t="s">
        <v>126</v>
      </c>
    </row>
    <row r="506" spans="1:15" ht="15" x14ac:dyDescent="0.25">
      <c r="A506" t="s">
        <v>136</v>
      </c>
      <c r="B506" s="8" t="s">
        <v>182</v>
      </c>
      <c r="C506">
        <v>901.13</v>
      </c>
      <c r="D506" s="8" t="s">
        <v>182</v>
      </c>
      <c r="E506" t="s">
        <v>121</v>
      </c>
      <c r="F506" t="s">
        <v>19</v>
      </c>
      <c r="G506" t="s">
        <v>175</v>
      </c>
      <c r="H506" s="8" t="s">
        <v>115</v>
      </c>
      <c r="I506" s="5">
        <v>44791</v>
      </c>
      <c r="J506" t="s">
        <v>119</v>
      </c>
      <c r="K506" t="s">
        <v>121</v>
      </c>
      <c r="L506" s="22" t="s">
        <v>58</v>
      </c>
      <c r="M506" s="8" t="s">
        <v>124</v>
      </c>
      <c r="N506" s="21" t="s">
        <v>127</v>
      </c>
    </row>
    <row r="507" spans="1:15" ht="15" x14ac:dyDescent="0.25">
      <c r="A507" t="s">
        <v>136</v>
      </c>
      <c r="B507" s="8" t="s">
        <v>182</v>
      </c>
      <c r="C507">
        <v>901.13</v>
      </c>
      <c r="D507" s="8" t="s">
        <v>182</v>
      </c>
      <c r="E507" t="s">
        <v>121</v>
      </c>
      <c r="F507" t="s">
        <v>19</v>
      </c>
      <c r="G507" t="s">
        <v>176</v>
      </c>
      <c r="H507" s="8" t="s">
        <v>115</v>
      </c>
      <c r="I507" s="5">
        <v>44791</v>
      </c>
      <c r="J507" t="s">
        <v>119</v>
      </c>
      <c r="K507" t="s">
        <v>121</v>
      </c>
      <c r="L507" s="22">
        <v>0.113333</v>
      </c>
      <c r="M507" s="8" t="s">
        <v>124</v>
      </c>
      <c r="N507" s="21" t="s">
        <v>127</v>
      </c>
      <c r="O507" s="8" t="s">
        <v>126</v>
      </c>
    </row>
    <row r="508" spans="1:15" ht="15" x14ac:dyDescent="0.25">
      <c r="A508" t="s">
        <v>136</v>
      </c>
      <c r="B508" s="8" t="s">
        <v>182</v>
      </c>
      <c r="C508">
        <v>901.13</v>
      </c>
      <c r="D508" s="8" t="s">
        <v>182</v>
      </c>
      <c r="E508" t="s">
        <v>121</v>
      </c>
      <c r="F508" t="s">
        <v>19</v>
      </c>
      <c r="G508" t="s">
        <v>180</v>
      </c>
      <c r="H508" s="8" t="s">
        <v>115</v>
      </c>
      <c r="I508" s="5">
        <v>44791</v>
      </c>
      <c r="J508" t="s">
        <v>119</v>
      </c>
      <c r="K508" t="s">
        <v>121</v>
      </c>
      <c r="L508" s="22" t="s">
        <v>58</v>
      </c>
      <c r="M508" s="8" t="s">
        <v>124</v>
      </c>
      <c r="N508" s="21" t="s">
        <v>127</v>
      </c>
    </row>
    <row r="509" spans="1:15" ht="15" x14ac:dyDescent="0.25">
      <c r="A509" t="s">
        <v>139</v>
      </c>
      <c r="B509" s="8" t="s">
        <v>182</v>
      </c>
      <c r="C509">
        <v>901.13</v>
      </c>
      <c r="D509" s="8" t="s">
        <v>182</v>
      </c>
      <c r="E509" t="s">
        <v>121</v>
      </c>
      <c r="F509" t="s">
        <v>19</v>
      </c>
      <c r="G509" t="s">
        <v>181</v>
      </c>
      <c r="H509" s="8" t="s">
        <v>115</v>
      </c>
      <c r="I509" s="5">
        <v>44791</v>
      </c>
      <c r="J509" t="s">
        <v>23</v>
      </c>
      <c r="K509" t="s">
        <v>121</v>
      </c>
      <c r="L509" s="22">
        <v>2E-3</v>
      </c>
      <c r="M509" s="8" t="s">
        <v>124</v>
      </c>
      <c r="N509" s="21" t="s">
        <v>127</v>
      </c>
      <c r="O509" s="8" t="s">
        <v>125</v>
      </c>
    </row>
    <row r="510" spans="1:15" ht="15" x14ac:dyDescent="0.25">
      <c r="A510" t="s">
        <v>138</v>
      </c>
      <c r="B510" s="8" t="s">
        <v>182</v>
      </c>
      <c r="C510">
        <v>901.13</v>
      </c>
      <c r="D510" s="8" t="s">
        <v>182</v>
      </c>
      <c r="E510" t="s">
        <v>121</v>
      </c>
      <c r="F510" t="s">
        <v>19</v>
      </c>
      <c r="G510" t="s">
        <v>146</v>
      </c>
      <c r="H510" s="8" t="s">
        <v>115</v>
      </c>
      <c r="I510" s="5">
        <v>44795</v>
      </c>
      <c r="J510" t="s">
        <v>23</v>
      </c>
      <c r="K510" t="s">
        <v>121</v>
      </c>
      <c r="L510" s="22">
        <v>3.2000000000000001E-2</v>
      </c>
      <c r="M510" s="8" t="s">
        <v>124</v>
      </c>
      <c r="N510" s="21" t="s">
        <v>127</v>
      </c>
      <c r="O510" s="8" t="s">
        <v>125</v>
      </c>
    </row>
    <row r="511" spans="1:15" ht="15" x14ac:dyDescent="0.25">
      <c r="A511" t="s">
        <v>138</v>
      </c>
      <c r="B511" s="8" t="s">
        <v>182</v>
      </c>
      <c r="C511">
        <v>901.13</v>
      </c>
      <c r="D511" s="8" t="s">
        <v>182</v>
      </c>
      <c r="E511" t="s">
        <v>113</v>
      </c>
      <c r="F511" t="s">
        <v>19</v>
      </c>
      <c r="G511" t="s">
        <v>147</v>
      </c>
      <c r="H511" s="8" t="s">
        <v>115</v>
      </c>
      <c r="I511" s="5">
        <v>44795</v>
      </c>
      <c r="J511" t="s">
        <v>114</v>
      </c>
      <c r="K511" t="s">
        <v>113</v>
      </c>
      <c r="L511" s="22" t="s">
        <v>58</v>
      </c>
      <c r="M511" s="8" t="s">
        <v>124</v>
      </c>
      <c r="N511" s="21" t="s">
        <v>127</v>
      </c>
    </row>
    <row r="512" spans="1:15" ht="15" x14ac:dyDescent="0.25">
      <c r="A512" t="s">
        <v>138</v>
      </c>
      <c r="B512" s="8" t="s">
        <v>182</v>
      </c>
      <c r="C512">
        <v>901.13</v>
      </c>
      <c r="D512" s="8" t="s">
        <v>182</v>
      </c>
      <c r="E512" t="s">
        <v>121</v>
      </c>
      <c r="F512" t="s">
        <v>19</v>
      </c>
      <c r="G512" t="s">
        <v>151</v>
      </c>
      <c r="H512" s="8" t="s">
        <v>115</v>
      </c>
      <c r="I512" s="5">
        <v>44795</v>
      </c>
      <c r="J512" t="s">
        <v>23</v>
      </c>
      <c r="K512" t="s">
        <v>121</v>
      </c>
      <c r="L512" s="22">
        <v>1.2999999999999999E-2</v>
      </c>
      <c r="M512" s="8" t="s">
        <v>124</v>
      </c>
      <c r="N512" s="21" t="s">
        <v>127</v>
      </c>
      <c r="O512" s="8" t="s">
        <v>125</v>
      </c>
    </row>
    <row r="513" spans="1:15" ht="15" x14ac:dyDescent="0.25">
      <c r="A513" t="s">
        <v>140</v>
      </c>
      <c r="B513" s="8" t="s">
        <v>182</v>
      </c>
      <c r="C513">
        <v>901.13</v>
      </c>
      <c r="D513" s="8" t="s">
        <v>182</v>
      </c>
      <c r="E513" t="s">
        <v>113</v>
      </c>
      <c r="F513" t="s">
        <v>19</v>
      </c>
      <c r="G513" t="s">
        <v>177</v>
      </c>
      <c r="H513" s="8" t="s">
        <v>115</v>
      </c>
      <c r="I513" s="5">
        <v>44796</v>
      </c>
      <c r="J513" t="s">
        <v>119</v>
      </c>
      <c r="K513" t="s">
        <v>113</v>
      </c>
      <c r="L513" s="22" t="s">
        <v>58</v>
      </c>
      <c r="M513" s="8" t="s">
        <v>124</v>
      </c>
      <c r="N513" s="21" t="s">
        <v>127</v>
      </c>
    </row>
    <row r="514" spans="1:15" ht="15" x14ac:dyDescent="0.25">
      <c r="A514" t="s">
        <v>111</v>
      </c>
      <c r="B514" s="8" t="s">
        <v>182</v>
      </c>
      <c r="C514">
        <v>901.13</v>
      </c>
      <c r="D514" s="8" t="s">
        <v>182</v>
      </c>
      <c r="E514" t="s">
        <v>113</v>
      </c>
      <c r="F514" t="s">
        <v>19</v>
      </c>
      <c r="G514" t="s">
        <v>168</v>
      </c>
      <c r="H514" s="8" t="s">
        <v>115</v>
      </c>
      <c r="I514" s="5">
        <v>44802</v>
      </c>
      <c r="J514" t="s">
        <v>114</v>
      </c>
      <c r="K514" t="s">
        <v>113</v>
      </c>
      <c r="L514" s="22" t="s">
        <v>58</v>
      </c>
      <c r="M514" s="8" t="s">
        <v>124</v>
      </c>
      <c r="N514" s="21" t="s">
        <v>127</v>
      </c>
    </row>
    <row r="515" spans="1:15" ht="15" x14ac:dyDescent="0.25">
      <c r="A515" t="s">
        <v>138</v>
      </c>
      <c r="B515" s="8" t="s">
        <v>182</v>
      </c>
      <c r="C515">
        <v>901.13</v>
      </c>
      <c r="D515" s="8" t="s">
        <v>182</v>
      </c>
      <c r="E515" t="s">
        <v>113</v>
      </c>
      <c r="F515" t="s">
        <v>19</v>
      </c>
      <c r="G515" t="s">
        <v>167</v>
      </c>
      <c r="H515" s="8" t="s">
        <v>115</v>
      </c>
      <c r="I515" s="5">
        <v>44804</v>
      </c>
      <c r="J515" t="s">
        <v>119</v>
      </c>
      <c r="K515" t="s">
        <v>113</v>
      </c>
      <c r="L515" s="22" t="s">
        <v>58</v>
      </c>
      <c r="M515" s="8" t="s">
        <v>124</v>
      </c>
      <c r="N515" s="21" t="s">
        <v>127</v>
      </c>
    </row>
    <row r="516" spans="1:15" ht="15" x14ac:dyDescent="0.25">
      <c r="A516" t="s">
        <v>136</v>
      </c>
      <c r="B516" s="8" t="s">
        <v>182</v>
      </c>
      <c r="C516">
        <v>901.13</v>
      </c>
      <c r="D516" s="8" t="s">
        <v>182</v>
      </c>
      <c r="E516" t="s">
        <v>113</v>
      </c>
      <c r="F516" t="s">
        <v>19</v>
      </c>
      <c r="G516" t="s">
        <v>154</v>
      </c>
      <c r="H516" s="8" t="s">
        <v>115</v>
      </c>
      <c r="I516" s="5">
        <v>44805</v>
      </c>
      <c r="J516" t="s">
        <v>114</v>
      </c>
      <c r="K516" t="s">
        <v>113</v>
      </c>
      <c r="L516" s="22" t="s">
        <v>58</v>
      </c>
      <c r="M516" s="8" t="s">
        <v>124</v>
      </c>
      <c r="N516" s="21" t="s">
        <v>127</v>
      </c>
    </row>
    <row r="517" spans="1:15" ht="15" x14ac:dyDescent="0.25">
      <c r="A517" t="s">
        <v>136</v>
      </c>
      <c r="B517" s="8" t="s">
        <v>182</v>
      </c>
      <c r="C517">
        <v>901.13</v>
      </c>
      <c r="D517" s="8" t="s">
        <v>182</v>
      </c>
      <c r="E517" t="s">
        <v>113</v>
      </c>
      <c r="F517" t="s">
        <v>19</v>
      </c>
      <c r="G517" t="s">
        <v>178</v>
      </c>
      <c r="H517" s="8" t="s">
        <v>115</v>
      </c>
      <c r="I517" s="5">
        <v>44805</v>
      </c>
      <c r="J517" t="s">
        <v>114</v>
      </c>
      <c r="K517" t="s">
        <v>113</v>
      </c>
      <c r="L517" s="22" t="s">
        <v>58</v>
      </c>
      <c r="M517" s="8" t="s">
        <v>124</v>
      </c>
      <c r="N517" s="21" t="s">
        <v>127</v>
      </c>
    </row>
    <row r="518" spans="1:15" ht="15" x14ac:dyDescent="0.25">
      <c r="A518" t="s">
        <v>138</v>
      </c>
      <c r="B518" s="8" t="s">
        <v>182</v>
      </c>
      <c r="C518">
        <v>901.13</v>
      </c>
      <c r="D518" s="8" t="s">
        <v>182</v>
      </c>
      <c r="E518" t="s">
        <v>121</v>
      </c>
      <c r="F518" t="s">
        <v>19</v>
      </c>
      <c r="G518" t="s">
        <v>145</v>
      </c>
      <c r="H518" s="8" t="s">
        <v>115</v>
      </c>
      <c r="I518" s="5">
        <v>44812</v>
      </c>
      <c r="J518" t="s">
        <v>23</v>
      </c>
      <c r="K518" t="s">
        <v>121</v>
      </c>
      <c r="L518" s="22">
        <v>2.5000000000000001E-2</v>
      </c>
      <c r="M518" s="8" t="s">
        <v>124</v>
      </c>
      <c r="N518" s="21" t="s">
        <v>127</v>
      </c>
      <c r="O518" s="8" t="s">
        <v>125</v>
      </c>
    </row>
    <row r="519" spans="1:15" ht="15" x14ac:dyDescent="0.25">
      <c r="A519" t="s">
        <v>138</v>
      </c>
      <c r="B519" s="8" t="s">
        <v>182</v>
      </c>
      <c r="C519">
        <v>901.13</v>
      </c>
      <c r="D519" s="8" t="s">
        <v>182</v>
      </c>
      <c r="E519" t="s">
        <v>112</v>
      </c>
      <c r="F519" t="s">
        <v>19</v>
      </c>
      <c r="G519" t="s">
        <v>165</v>
      </c>
      <c r="H519" s="8" t="s">
        <v>115</v>
      </c>
      <c r="I519" s="5">
        <v>44812</v>
      </c>
      <c r="J519" t="s">
        <v>23</v>
      </c>
      <c r="K519" t="s">
        <v>112</v>
      </c>
      <c r="L519" s="22">
        <v>5.2999999999999999E-2</v>
      </c>
      <c r="M519" s="8" t="s">
        <v>124</v>
      </c>
      <c r="N519" s="21" t="s">
        <v>127</v>
      </c>
      <c r="O519" s="8" t="s">
        <v>125</v>
      </c>
    </row>
    <row r="520" spans="1:15" ht="15" x14ac:dyDescent="0.25">
      <c r="A520" t="s">
        <v>138</v>
      </c>
      <c r="B520" s="8" t="s">
        <v>182</v>
      </c>
      <c r="C520">
        <v>901.13</v>
      </c>
      <c r="D520" s="8" t="s">
        <v>182</v>
      </c>
      <c r="E520" t="s">
        <v>121</v>
      </c>
      <c r="F520" t="s">
        <v>19</v>
      </c>
      <c r="G520" t="s">
        <v>171</v>
      </c>
      <c r="H520" s="8" t="s">
        <v>115</v>
      </c>
      <c r="I520" s="5">
        <v>44812</v>
      </c>
      <c r="J520" t="s">
        <v>23</v>
      </c>
      <c r="K520" t="s">
        <v>121</v>
      </c>
      <c r="L520" s="22">
        <v>1.0999999999999999E-2</v>
      </c>
      <c r="M520" s="8" t="s">
        <v>124</v>
      </c>
      <c r="N520" s="21" t="s">
        <v>127</v>
      </c>
      <c r="O520" s="8" t="s">
        <v>125</v>
      </c>
    </row>
    <row r="521" spans="1:15" ht="15" x14ac:dyDescent="0.25">
      <c r="A521" t="s">
        <v>136</v>
      </c>
      <c r="B521" s="8" t="s">
        <v>182</v>
      </c>
      <c r="C521">
        <v>901.13</v>
      </c>
      <c r="D521" s="8" t="s">
        <v>182</v>
      </c>
      <c r="E521" t="s">
        <v>121</v>
      </c>
      <c r="F521" t="s">
        <v>19</v>
      </c>
      <c r="G521" t="s">
        <v>153</v>
      </c>
      <c r="H521" s="8" t="s">
        <v>115</v>
      </c>
      <c r="I521" s="5">
        <v>44818</v>
      </c>
      <c r="J521" t="s">
        <v>119</v>
      </c>
      <c r="K521" t="s">
        <v>121</v>
      </c>
      <c r="L521" s="22" t="s">
        <v>58</v>
      </c>
      <c r="M521" s="8" t="s">
        <v>124</v>
      </c>
      <c r="N521" s="21" t="s">
        <v>127</v>
      </c>
    </row>
    <row r="522" spans="1:15" ht="15" x14ac:dyDescent="0.25">
      <c r="A522" t="s">
        <v>138</v>
      </c>
      <c r="B522" s="8" t="s">
        <v>182</v>
      </c>
      <c r="C522">
        <v>901.13</v>
      </c>
      <c r="D522" s="8" t="s">
        <v>182</v>
      </c>
      <c r="E522" t="s">
        <v>112</v>
      </c>
      <c r="F522" t="s">
        <v>19</v>
      </c>
      <c r="G522" t="s">
        <v>164</v>
      </c>
      <c r="H522" s="8" t="s">
        <v>115</v>
      </c>
      <c r="I522" s="5">
        <v>44818</v>
      </c>
      <c r="J522" t="s">
        <v>23</v>
      </c>
      <c r="K522" t="s">
        <v>112</v>
      </c>
      <c r="L522" s="22">
        <v>9.5999999999999992E-3</v>
      </c>
      <c r="M522" s="8" t="s">
        <v>124</v>
      </c>
      <c r="N522" s="21" t="s">
        <v>127</v>
      </c>
      <c r="O522" s="8" t="s">
        <v>126</v>
      </c>
    </row>
    <row r="523" spans="1:15" ht="15" x14ac:dyDescent="0.25">
      <c r="A523" t="s">
        <v>136</v>
      </c>
      <c r="B523" s="8" t="s">
        <v>182</v>
      </c>
      <c r="C523">
        <v>901.13</v>
      </c>
      <c r="D523" s="8" t="s">
        <v>182</v>
      </c>
      <c r="E523" t="s">
        <v>122</v>
      </c>
      <c r="F523" t="s">
        <v>19</v>
      </c>
      <c r="G523" t="s">
        <v>157</v>
      </c>
      <c r="H523" s="8" t="s">
        <v>115</v>
      </c>
      <c r="I523" s="5">
        <v>44825</v>
      </c>
      <c r="J523" t="s">
        <v>119</v>
      </c>
      <c r="K523" t="s">
        <v>122</v>
      </c>
      <c r="L523" s="22" t="s">
        <v>58</v>
      </c>
      <c r="M523" s="8" t="s">
        <v>124</v>
      </c>
      <c r="N523" s="21" t="s">
        <v>127</v>
      </c>
    </row>
    <row r="524" spans="1:15" ht="15" x14ac:dyDescent="0.25">
      <c r="A524" t="s">
        <v>138</v>
      </c>
      <c r="B524" s="8" t="s">
        <v>182</v>
      </c>
      <c r="C524">
        <v>901.13</v>
      </c>
      <c r="D524" s="8" t="s">
        <v>182</v>
      </c>
      <c r="E524" t="s">
        <v>121</v>
      </c>
      <c r="F524" t="s">
        <v>19</v>
      </c>
      <c r="G524" t="s">
        <v>145</v>
      </c>
      <c r="H524" s="8" t="s">
        <v>107</v>
      </c>
      <c r="I524" s="5">
        <v>44868</v>
      </c>
      <c r="J524" t="s">
        <v>23</v>
      </c>
      <c r="K524" t="s">
        <v>121</v>
      </c>
      <c r="L524" s="22">
        <v>4.1599999999999998E-2</v>
      </c>
      <c r="M524" s="8" t="s">
        <v>124</v>
      </c>
      <c r="N524" s="21" t="s">
        <v>127</v>
      </c>
      <c r="O524" s="8" t="s">
        <v>126</v>
      </c>
    </row>
    <row r="525" spans="1:15" ht="15" x14ac:dyDescent="0.25">
      <c r="A525" t="s">
        <v>136</v>
      </c>
      <c r="B525" s="8" t="s">
        <v>182</v>
      </c>
      <c r="C525">
        <v>901.13</v>
      </c>
      <c r="D525" s="8" t="s">
        <v>182</v>
      </c>
      <c r="E525" t="s">
        <v>113</v>
      </c>
      <c r="F525" t="s">
        <v>19</v>
      </c>
      <c r="G525" t="s">
        <v>175</v>
      </c>
      <c r="H525" s="8" t="s">
        <v>107</v>
      </c>
      <c r="I525" s="5">
        <v>44869</v>
      </c>
      <c r="J525" t="s">
        <v>114</v>
      </c>
      <c r="K525" t="s">
        <v>113</v>
      </c>
      <c r="L525" s="22" t="s">
        <v>58</v>
      </c>
      <c r="M525" s="8" t="s">
        <v>124</v>
      </c>
      <c r="N525" s="21" t="s">
        <v>127</v>
      </c>
    </row>
    <row r="526" spans="1:15" ht="15" x14ac:dyDescent="0.25">
      <c r="A526" t="s">
        <v>140</v>
      </c>
      <c r="B526" s="8" t="s">
        <v>182</v>
      </c>
      <c r="C526">
        <v>901.13</v>
      </c>
      <c r="D526" s="8" t="s">
        <v>182</v>
      </c>
      <c r="E526" t="s">
        <v>113</v>
      </c>
      <c r="F526" t="s">
        <v>19</v>
      </c>
      <c r="G526" t="s">
        <v>177</v>
      </c>
      <c r="H526" s="8" t="s">
        <v>107</v>
      </c>
      <c r="I526" s="5">
        <v>44915</v>
      </c>
      <c r="J526" t="s">
        <v>119</v>
      </c>
      <c r="K526" t="s">
        <v>113</v>
      </c>
      <c r="L526" s="22" t="s">
        <v>58</v>
      </c>
      <c r="M526" s="8" t="s">
        <v>124</v>
      </c>
      <c r="N526" s="21" t="s">
        <v>127</v>
      </c>
    </row>
    <row r="527" spans="1:15" ht="15" x14ac:dyDescent="0.25">
      <c r="A527" t="s">
        <v>139</v>
      </c>
      <c r="B527" s="8" t="s">
        <v>182</v>
      </c>
      <c r="C527">
        <v>901.13</v>
      </c>
      <c r="D527" s="8" t="s">
        <v>182</v>
      </c>
      <c r="E527" t="s">
        <v>121</v>
      </c>
      <c r="F527" t="s">
        <v>19</v>
      </c>
      <c r="G527" t="s">
        <v>161</v>
      </c>
      <c r="H527" s="8" t="s">
        <v>107</v>
      </c>
      <c r="I527" s="5">
        <v>44966</v>
      </c>
      <c r="J527" t="s">
        <v>23</v>
      </c>
      <c r="K527" t="s">
        <v>121</v>
      </c>
      <c r="L527" s="22">
        <v>0.18571399999999999</v>
      </c>
      <c r="M527" s="8" t="s">
        <v>124</v>
      </c>
      <c r="N527" s="21" t="s">
        <v>127</v>
      </c>
      <c r="O527" s="8" t="s">
        <v>126</v>
      </c>
    </row>
    <row r="528" spans="1:15" ht="15" x14ac:dyDescent="0.25">
      <c r="A528" t="s">
        <v>139</v>
      </c>
      <c r="B528" s="8" t="s">
        <v>182</v>
      </c>
      <c r="C528">
        <v>901.13</v>
      </c>
      <c r="D528" s="8" t="s">
        <v>182</v>
      </c>
      <c r="E528" t="s">
        <v>121</v>
      </c>
      <c r="F528" t="s">
        <v>19</v>
      </c>
      <c r="G528" t="s">
        <v>181</v>
      </c>
      <c r="H528" s="8" t="s">
        <v>107</v>
      </c>
      <c r="I528" s="5">
        <v>44966</v>
      </c>
      <c r="J528" t="s">
        <v>23</v>
      </c>
      <c r="K528" t="s">
        <v>121</v>
      </c>
      <c r="L528" s="22">
        <v>8.4000000000000005E-2</v>
      </c>
      <c r="M528" s="8" t="s">
        <v>124</v>
      </c>
      <c r="N528" s="21" t="s">
        <v>127</v>
      </c>
      <c r="O528" s="8" t="s">
        <v>126</v>
      </c>
    </row>
    <row r="529" spans="1:15" ht="15" x14ac:dyDescent="0.25">
      <c r="A529" t="s">
        <v>136</v>
      </c>
      <c r="B529" s="8" t="s">
        <v>182</v>
      </c>
      <c r="C529">
        <v>901.13</v>
      </c>
      <c r="D529" s="8" t="s">
        <v>182</v>
      </c>
      <c r="E529" t="s">
        <v>121</v>
      </c>
      <c r="F529" t="s">
        <v>19</v>
      </c>
      <c r="G529" t="s">
        <v>176</v>
      </c>
      <c r="H529" s="8" t="s">
        <v>107</v>
      </c>
      <c r="I529" s="5">
        <v>44973</v>
      </c>
      <c r="J529" t="s">
        <v>23</v>
      </c>
      <c r="K529" t="s">
        <v>121</v>
      </c>
      <c r="L529" s="22">
        <v>0.1323</v>
      </c>
      <c r="M529" s="8" t="s">
        <v>124</v>
      </c>
      <c r="N529" s="21" t="s">
        <v>127</v>
      </c>
      <c r="O529" s="8" t="s">
        <v>126</v>
      </c>
    </row>
    <row r="530" spans="1:15" ht="15" x14ac:dyDescent="0.25">
      <c r="A530" t="s">
        <v>138</v>
      </c>
      <c r="B530" s="8" t="s">
        <v>182</v>
      </c>
      <c r="C530">
        <v>901.13</v>
      </c>
      <c r="D530" s="8" t="s">
        <v>182</v>
      </c>
      <c r="E530" t="s">
        <v>122</v>
      </c>
      <c r="F530" t="s">
        <v>19</v>
      </c>
      <c r="G530" t="s">
        <v>163</v>
      </c>
      <c r="H530" s="8" t="s">
        <v>107</v>
      </c>
      <c r="I530" s="5">
        <v>45036</v>
      </c>
      <c r="J530" t="s">
        <v>23</v>
      </c>
      <c r="K530" t="s">
        <v>122</v>
      </c>
      <c r="L530" s="22" t="s">
        <v>58</v>
      </c>
      <c r="M530" s="8" t="s">
        <v>124</v>
      </c>
      <c r="N530" s="21" t="s">
        <v>127</v>
      </c>
    </row>
    <row r="531" spans="1:15" ht="15" x14ac:dyDescent="0.25">
      <c r="A531" t="s">
        <v>137</v>
      </c>
      <c r="B531" s="8" t="s">
        <v>182</v>
      </c>
      <c r="C531">
        <v>901.13</v>
      </c>
      <c r="D531" s="8" t="s">
        <v>182</v>
      </c>
      <c r="E531" t="s">
        <v>58</v>
      </c>
      <c r="F531" t="s">
        <v>19</v>
      </c>
      <c r="G531" t="s">
        <v>142</v>
      </c>
      <c r="H531" s="8" t="s">
        <v>107</v>
      </c>
      <c r="I531" s="5">
        <v>45041</v>
      </c>
      <c r="J531" t="s">
        <v>23</v>
      </c>
      <c r="K531" t="s">
        <v>58</v>
      </c>
      <c r="L531" s="22">
        <v>4.2000000000000003E-2</v>
      </c>
      <c r="M531" s="8" t="s">
        <v>124</v>
      </c>
      <c r="N531" s="21" t="s">
        <v>127</v>
      </c>
      <c r="O531" s="8" t="s">
        <v>125</v>
      </c>
    </row>
    <row r="532" spans="1:15" ht="15" x14ac:dyDescent="0.25">
      <c r="A532" t="s">
        <v>136</v>
      </c>
      <c r="B532" s="8" t="s">
        <v>182</v>
      </c>
      <c r="C532">
        <v>901.13</v>
      </c>
      <c r="D532" s="8" t="s">
        <v>182</v>
      </c>
      <c r="E532" t="s">
        <v>58</v>
      </c>
      <c r="F532" t="s">
        <v>19</v>
      </c>
      <c r="G532" t="s">
        <v>157</v>
      </c>
      <c r="H532" s="8" t="s">
        <v>107</v>
      </c>
      <c r="I532" s="5">
        <v>45041</v>
      </c>
      <c r="J532" t="s">
        <v>119</v>
      </c>
      <c r="K532" t="s">
        <v>58</v>
      </c>
      <c r="L532" s="22" t="s">
        <v>58</v>
      </c>
      <c r="M532" s="8" t="s">
        <v>124</v>
      </c>
      <c r="N532" s="21" t="s">
        <v>127</v>
      </c>
    </row>
    <row r="533" spans="1:15" ht="15" x14ac:dyDescent="0.25">
      <c r="A533" t="s">
        <v>136</v>
      </c>
      <c r="B533" s="8" t="s">
        <v>182</v>
      </c>
      <c r="C533">
        <v>901.13</v>
      </c>
      <c r="D533" s="8" t="s">
        <v>182</v>
      </c>
      <c r="E533" t="s">
        <v>58</v>
      </c>
      <c r="F533" t="s">
        <v>19</v>
      </c>
      <c r="G533" t="s">
        <v>162</v>
      </c>
      <c r="H533" s="8" t="s">
        <v>107</v>
      </c>
      <c r="I533" s="5">
        <v>45041</v>
      </c>
      <c r="J533" t="s">
        <v>114</v>
      </c>
      <c r="K533" t="s">
        <v>58</v>
      </c>
      <c r="L533" s="22">
        <v>0</v>
      </c>
      <c r="M533" s="8" t="s">
        <v>124</v>
      </c>
      <c r="N533" s="21" t="s">
        <v>127</v>
      </c>
      <c r="O533" s="8" t="s">
        <v>125</v>
      </c>
    </row>
    <row r="534" spans="1:15" ht="15" x14ac:dyDescent="0.25">
      <c r="A534" t="s">
        <v>137</v>
      </c>
      <c r="B534" s="8" t="s">
        <v>182</v>
      </c>
      <c r="C534">
        <v>901.13</v>
      </c>
      <c r="D534" s="8" t="s">
        <v>182</v>
      </c>
      <c r="E534" t="s">
        <v>58</v>
      </c>
      <c r="F534" t="s">
        <v>19</v>
      </c>
      <c r="G534" t="s">
        <v>170</v>
      </c>
      <c r="H534" s="8" t="s">
        <v>107</v>
      </c>
      <c r="I534" s="5">
        <v>45041</v>
      </c>
      <c r="J534" t="s">
        <v>23</v>
      </c>
      <c r="K534" t="s">
        <v>58</v>
      </c>
      <c r="L534" s="22">
        <v>4.0000000000000001E-3</v>
      </c>
      <c r="M534" s="8" t="s">
        <v>124</v>
      </c>
      <c r="N534" s="21" t="s">
        <v>127</v>
      </c>
      <c r="O534" s="8" t="s">
        <v>125</v>
      </c>
    </row>
    <row r="535" spans="1:15" ht="15" x14ac:dyDescent="0.25">
      <c r="A535" t="s">
        <v>136</v>
      </c>
      <c r="B535" s="8" t="s">
        <v>182</v>
      </c>
      <c r="C535">
        <v>901.13</v>
      </c>
      <c r="D535" s="8" t="s">
        <v>182</v>
      </c>
      <c r="E535" t="s">
        <v>58</v>
      </c>
      <c r="F535" t="s">
        <v>19</v>
      </c>
      <c r="G535" t="s">
        <v>175</v>
      </c>
      <c r="H535" s="8" t="s">
        <v>107</v>
      </c>
      <c r="I535" s="5">
        <v>45041</v>
      </c>
      <c r="J535" t="s">
        <v>114</v>
      </c>
      <c r="K535" t="s">
        <v>58</v>
      </c>
      <c r="L535" s="22" t="s">
        <v>58</v>
      </c>
      <c r="M535" s="8" t="s">
        <v>124</v>
      </c>
      <c r="N535" s="21" t="s">
        <v>127</v>
      </c>
    </row>
    <row r="536" spans="1:15" ht="15" x14ac:dyDescent="0.25">
      <c r="A536" t="s">
        <v>136</v>
      </c>
      <c r="B536" s="8" t="s">
        <v>182</v>
      </c>
      <c r="C536">
        <v>901.13</v>
      </c>
      <c r="D536" s="8" t="s">
        <v>182</v>
      </c>
      <c r="E536" t="s">
        <v>58</v>
      </c>
      <c r="F536" t="s">
        <v>19</v>
      </c>
      <c r="G536" t="s">
        <v>176</v>
      </c>
      <c r="H536" s="8" t="s">
        <v>107</v>
      </c>
      <c r="I536" s="5">
        <v>45041</v>
      </c>
      <c r="J536" t="s">
        <v>23</v>
      </c>
      <c r="K536" t="s">
        <v>58</v>
      </c>
      <c r="L536" s="22">
        <v>3.2000000000000001E-2</v>
      </c>
      <c r="M536" s="8" t="s">
        <v>124</v>
      </c>
      <c r="N536" s="21" t="s">
        <v>127</v>
      </c>
      <c r="O536" s="8" t="s">
        <v>125</v>
      </c>
    </row>
    <row r="537" spans="1:15" ht="15" x14ac:dyDescent="0.25">
      <c r="A537" t="s">
        <v>140</v>
      </c>
      <c r="B537" s="8" t="s">
        <v>182</v>
      </c>
      <c r="C537">
        <v>901.13</v>
      </c>
      <c r="D537" s="8" t="s">
        <v>182</v>
      </c>
      <c r="E537" t="s">
        <v>58</v>
      </c>
      <c r="F537" t="s">
        <v>19</v>
      </c>
      <c r="G537" t="s">
        <v>177</v>
      </c>
      <c r="H537" s="8" t="s">
        <v>107</v>
      </c>
      <c r="I537" s="5">
        <v>45041</v>
      </c>
      <c r="J537" t="s">
        <v>119</v>
      </c>
      <c r="K537" t="s">
        <v>58</v>
      </c>
      <c r="L537" s="22" t="s">
        <v>58</v>
      </c>
      <c r="M537" s="8" t="s">
        <v>124</v>
      </c>
      <c r="N537" s="21" t="s">
        <v>127</v>
      </c>
    </row>
    <row r="538" spans="1:15" ht="15" x14ac:dyDescent="0.25">
      <c r="A538" t="s">
        <v>136</v>
      </c>
      <c r="B538" s="8" t="s">
        <v>182</v>
      </c>
      <c r="C538">
        <v>901.13</v>
      </c>
      <c r="D538" s="8" t="s">
        <v>182</v>
      </c>
      <c r="E538" t="s">
        <v>58</v>
      </c>
      <c r="F538" t="s">
        <v>19</v>
      </c>
      <c r="G538" t="s">
        <v>180</v>
      </c>
      <c r="H538" s="8" t="s">
        <v>107</v>
      </c>
      <c r="I538" s="5">
        <v>45041</v>
      </c>
      <c r="J538" t="s">
        <v>114</v>
      </c>
      <c r="K538" t="s">
        <v>58</v>
      </c>
      <c r="L538" s="22" t="s">
        <v>58</v>
      </c>
      <c r="M538" s="8" t="s">
        <v>124</v>
      </c>
      <c r="N538" s="21" t="s">
        <v>127</v>
      </c>
    </row>
    <row r="539" spans="1:15" ht="15" x14ac:dyDescent="0.25">
      <c r="A539" t="s">
        <v>138</v>
      </c>
      <c r="B539" s="8" t="s">
        <v>182</v>
      </c>
      <c r="C539">
        <v>901.13</v>
      </c>
      <c r="D539" s="8" t="s">
        <v>182</v>
      </c>
      <c r="E539" t="s">
        <v>58</v>
      </c>
      <c r="F539" t="s">
        <v>19</v>
      </c>
      <c r="G539" t="s">
        <v>145</v>
      </c>
      <c r="H539" s="8" t="s">
        <v>107</v>
      </c>
      <c r="I539" s="5">
        <v>45042</v>
      </c>
      <c r="J539" t="s">
        <v>23</v>
      </c>
      <c r="K539" t="s">
        <v>58</v>
      </c>
      <c r="L539" s="22">
        <v>2.3E-2</v>
      </c>
      <c r="M539" s="8" t="s">
        <v>124</v>
      </c>
      <c r="N539" s="21" t="s">
        <v>127</v>
      </c>
      <c r="O539" s="8" t="s">
        <v>125</v>
      </c>
    </row>
    <row r="540" spans="1:15" ht="15" x14ac:dyDescent="0.25">
      <c r="A540" t="s">
        <v>139</v>
      </c>
      <c r="B540" s="8" t="s">
        <v>182</v>
      </c>
      <c r="C540">
        <v>901.13</v>
      </c>
      <c r="D540" s="8" t="s">
        <v>182</v>
      </c>
      <c r="E540"/>
      <c r="F540" t="s">
        <v>19</v>
      </c>
      <c r="G540" t="s">
        <v>150</v>
      </c>
      <c r="H540" s="8" t="s">
        <v>107</v>
      </c>
      <c r="I540" s="5">
        <v>45042</v>
      </c>
      <c r="J540" t="s">
        <v>23</v>
      </c>
      <c r="K540" t="s">
        <v>58</v>
      </c>
      <c r="L540" s="22">
        <v>4.3333999999999998E-2</v>
      </c>
      <c r="M540" s="8" t="s">
        <v>124</v>
      </c>
      <c r="N540" s="21" t="s">
        <v>127</v>
      </c>
      <c r="O540" s="8" t="s">
        <v>126</v>
      </c>
    </row>
    <row r="541" spans="1:15" ht="15" x14ac:dyDescent="0.25">
      <c r="A541" t="s">
        <v>139</v>
      </c>
      <c r="B541" s="8" t="s">
        <v>182</v>
      </c>
      <c r="C541">
        <v>901.13</v>
      </c>
      <c r="D541" s="8" t="s">
        <v>182</v>
      </c>
      <c r="E541" t="s">
        <v>58</v>
      </c>
      <c r="F541" t="s">
        <v>19</v>
      </c>
      <c r="G541" t="s">
        <v>166</v>
      </c>
      <c r="H541" s="8" t="s">
        <v>107</v>
      </c>
      <c r="I541" s="5">
        <v>45042</v>
      </c>
      <c r="J541" t="s">
        <v>23</v>
      </c>
      <c r="K541" t="s">
        <v>58</v>
      </c>
      <c r="L541" s="22">
        <v>0</v>
      </c>
      <c r="M541" s="8" t="s">
        <v>124</v>
      </c>
      <c r="N541" s="21" t="s">
        <v>127</v>
      </c>
      <c r="O541" s="8" t="s">
        <v>125</v>
      </c>
    </row>
    <row r="542" spans="1:15" ht="15" x14ac:dyDescent="0.25">
      <c r="A542" t="s">
        <v>138</v>
      </c>
      <c r="B542" s="8" t="s">
        <v>182</v>
      </c>
      <c r="C542">
        <v>901.13</v>
      </c>
      <c r="D542" s="8" t="s">
        <v>182</v>
      </c>
      <c r="E542" t="s">
        <v>58</v>
      </c>
      <c r="F542" t="s">
        <v>19</v>
      </c>
      <c r="G542" t="s">
        <v>167</v>
      </c>
      <c r="H542" s="8" t="s">
        <v>107</v>
      </c>
      <c r="I542" s="5">
        <v>45042</v>
      </c>
      <c r="J542" t="s">
        <v>114</v>
      </c>
      <c r="K542" t="s">
        <v>58</v>
      </c>
      <c r="L542" s="22" t="s">
        <v>58</v>
      </c>
      <c r="M542" s="8" t="s">
        <v>124</v>
      </c>
      <c r="N542" s="21" t="s">
        <v>127</v>
      </c>
    </row>
    <row r="543" spans="1:15" ht="15" x14ac:dyDescent="0.25">
      <c r="A543" t="s">
        <v>138</v>
      </c>
      <c r="B543" s="8" t="s">
        <v>182</v>
      </c>
      <c r="C543">
        <v>901.13</v>
      </c>
      <c r="D543" s="8" t="s">
        <v>182</v>
      </c>
      <c r="E543" t="s">
        <v>58</v>
      </c>
      <c r="F543" t="s">
        <v>19</v>
      </c>
      <c r="G543" t="s">
        <v>171</v>
      </c>
      <c r="H543" s="8" t="s">
        <v>107</v>
      </c>
      <c r="I543" s="5">
        <v>45042</v>
      </c>
      <c r="J543" t="s">
        <v>23</v>
      </c>
      <c r="K543" t="s">
        <v>58</v>
      </c>
      <c r="L543" s="22">
        <v>8.0000000000000002E-3</v>
      </c>
      <c r="M543" s="8" t="s">
        <v>124</v>
      </c>
      <c r="N543" s="21" t="s">
        <v>127</v>
      </c>
      <c r="O543" s="8" t="s">
        <v>125</v>
      </c>
    </row>
    <row r="544" spans="1:15" ht="15" x14ac:dyDescent="0.25">
      <c r="A544" t="s">
        <v>136</v>
      </c>
      <c r="B544" s="8" t="s">
        <v>182</v>
      </c>
      <c r="C544">
        <v>901.13</v>
      </c>
      <c r="D544" s="8" t="s">
        <v>182</v>
      </c>
      <c r="E544" t="s">
        <v>58</v>
      </c>
      <c r="F544" t="s">
        <v>19</v>
      </c>
      <c r="G544" t="s">
        <v>172</v>
      </c>
      <c r="H544" s="8" t="s">
        <v>107</v>
      </c>
      <c r="I544" s="5">
        <v>45042</v>
      </c>
      <c r="J544" t="s">
        <v>114</v>
      </c>
      <c r="K544" t="s">
        <v>58</v>
      </c>
      <c r="L544" s="22" t="s">
        <v>58</v>
      </c>
      <c r="M544" s="8" t="s">
        <v>124</v>
      </c>
      <c r="N544" s="21" t="s">
        <v>127</v>
      </c>
    </row>
    <row r="545" spans="1:15" ht="15" x14ac:dyDescent="0.25">
      <c r="A545" t="s">
        <v>138</v>
      </c>
      <c r="B545" s="8" t="s">
        <v>182</v>
      </c>
      <c r="C545">
        <v>901.13</v>
      </c>
      <c r="D545" s="8" t="s">
        <v>182</v>
      </c>
      <c r="E545" t="s">
        <v>58</v>
      </c>
      <c r="F545" t="s">
        <v>19</v>
      </c>
      <c r="G545" t="s">
        <v>173</v>
      </c>
      <c r="H545" s="8" t="s">
        <v>107</v>
      </c>
      <c r="I545" s="5">
        <v>45042</v>
      </c>
      <c r="J545" t="s">
        <v>23</v>
      </c>
      <c r="K545" t="s">
        <v>58</v>
      </c>
      <c r="L545" s="22">
        <v>1E-3</v>
      </c>
      <c r="M545" s="8" t="s">
        <v>124</v>
      </c>
      <c r="N545" s="21" t="s">
        <v>127</v>
      </c>
      <c r="O545" s="8" t="s">
        <v>125</v>
      </c>
    </row>
    <row r="546" spans="1:15" ht="15" x14ac:dyDescent="0.25">
      <c r="A546" t="s">
        <v>139</v>
      </c>
      <c r="B546" s="8" t="s">
        <v>182</v>
      </c>
      <c r="C546">
        <v>901.13</v>
      </c>
      <c r="D546" s="8" t="s">
        <v>182</v>
      </c>
      <c r="E546" t="s">
        <v>58</v>
      </c>
      <c r="F546" t="s">
        <v>19</v>
      </c>
      <c r="G546" t="s">
        <v>181</v>
      </c>
      <c r="H546" s="8" t="s">
        <v>107</v>
      </c>
      <c r="I546" s="5">
        <v>45042</v>
      </c>
      <c r="J546" t="s">
        <v>23</v>
      </c>
      <c r="K546" t="s">
        <v>58</v>
      </c>
      <c r="L546" s="22">
        <v>6.0000000000000001E-3</v>
      </c>
      <c r="M546" s="8" t="s">
        <v>124</v>
      </c>
      <c r="N546" s="21" t="s">
        <v>127</v>
      </c>
      <c r="O546" s="8" t="s">
        <v>125</v>
      </c>
    </row>
    <row r="547" spans="1:15" ht="15" x14ac:dyDescent="0.25">
      <c r="A547" t="s">
        <v>138</v>
      </c>
      <c r="B547" s="8" t="s">
        <v>182</v>
      </c>
      <c r="C547">
        <v>901.13</v>
      </c>
      <c r="D547" s="8" t="s">
        <v>182</v>
      </c>
      <c r="E547" t="s">
        <v>58</v>
      </c>
      <c r="F547" t="s">
        <v>19</v>
      </c>
      <c r="G547" t="s">
        <v>146</v>
      </c>
      <c r="H547" s="8" t="s">
        <v>107</v>
      </c>
      <c r="I547" s="5">
        <v>45043</v>
      </c>
      <c r="J547" t="s">
        <v>23</v>
      </c>
      <c r="K547" t="s">
        <v>58</v>
      </c>
      <c r="L547" s="22">
        <v>1.7000000000000001E-2</v>
      </c>
      <c r="M547" s="8" t="s">
        <v>124</v>
      </c>
      <c r="N547" s="21" t="s">
        <v>127</v>
      </c>
      <c r="O547" s="8" t="s">
        <v>125</v>
      </c>
    </row>
    <row r="548" spans="1:15" ht="15" x14ac:dyDescent="0.25">
      <c r="A548" t="s">
        <v>138</v>
      </c>
      <c r="B548" s="8" t="s">
        <v>182</v>
      </c>
      <c r="C548">
        <v>901.13</v>
      </c>
      <c r="D548" s="8" t="s">
        <v>182</v>
      </c>
      <c r="E548" t="s">
        <v>58</v>
      </c>
      <c r="F548" t="s">
        <v>19</v>
      </c>
      <c r="G548" t="s">
        <v>147</v>
      </c>
      <c r="H548" s="8" t="s">
        <v>107</v>
      </c>
      <c r="I548" s="5">
        <v>45043</v>
      </c>
      <c r="J548" t="s">
        <v>114</v>
      </c>
      <c r="K548" t="s">
        <v>58</v>
      </c>
      <c r="L548" s="22" t="s">
        <v>58</v>
      </c>
      <c r="M548" s="8" t="s">
        <v>124</v>
      </c>
      <c r="N548" s="21" t="s">
        <v>127</v>
      </c>
    </row>
    <row r="549" spans="1:15" ht="15" x14ac:dyDescent="0.25">
      <c r="A549" t="s">
        <v>138</v>
      </c>
      <c r="B549" s="8" t="s">
        <v>182</v>
      </c>
      <c r="C549">
        <v>901.13</v>
      </c>
      <c r="D549" s="8" t="s">
        <v>182</v>
      </c>
      <c r="E549" t="s">
        <v>58</v>
      </c>
      <c r="F549" t="s">
        <v>19</v>
      </c>
      <c r="G549" t="s">
        <v>151</v>
      </c>
      <c r="H549" s="8" t="s">
        <v>107</v>
      </c>
      <c r="I549" s="5">
        <v>45043</v>
      </c>
      <c r="J549" t="s">
        <v>23</v>
      </c>
      <c r="K549" t="s">
        <v>58</v>
      </c>
      <c r="L549" s="22">
        <v>2.1000000000000001E-2</v>
      </c>
      <c r="M549" s="8" t="s">
        <v>124</v>
      </c>
      <c r="N549" s="21" t="s">
        <v>127</v>
      </c>
      <c r="O549" s="8" t="s">
        <v>125</v>
      </c>
    </row>
    <row r="550" spans="1:15" ht="15" x14ac:dyDescent="0.25">
      <c r="A550" t="s">
        <v>138</v>
      </c>
      <c r="B550" s="8" t="s">
        <v>182</v>
      </c>
      <c r="C550">
        <v>901.13</v>
      </c>
      <c r="D550" s="8" t="s">
        <v>182</v>
      </c>
      <c r="E550" t="s">
        <v>58</v>
      </c>
      <c r="F550" t="s">
        <v>19</v>
      </c>
      <c r="G550" t="s">
        <v>165</v>
      </c>
      <c r="H550" s="8" t="s">
        <v>107</v>
      </c>
      <c r="I550" s="5">
        <v>45043</v>
      </c>
      <c r="J550" t="s">
        <v>23</v>
      </c>
      <c r="K550" t="s">
        <v>58</v>
      </c>
      <c r="L550" s="22">
        <v>7.0000000000000001E-3</v>
      </c>
      <c r="M550" s="8" t="s">
        <v>124</v>
      </c>
      <c r="N550" s="21" t="s">
        <v>127</v>
      </c>
      <c r="O550" s="8" t="s">
        <v>125</v>
      </c>
    </row>
    <row r="551" spans="1:15" ht="15" x14ac:dyDescent="0.25">
      <c r="A551" t="s">
        <v>136</v>
      </c>
      <c r="B551" s="8" t="s">
        <v>182</v>
      </c>
      <c r="C551">
        <v>901.13</v>
      </c>
      <c r="D551" s="8" t="s">
        <v>182</v>
      </c>
      <c r="E551" t="s">
        <v>113</v>
      </c>
      <c r="F551" t="s">
        <v>19</v>
      </c>
      <c r="G551" t="s">
        <v>141</v>
      </c>
      <c r="H551" s="8" t="s">
        <v>107</v>
      </c>
      <c r="I551" s="5">
        <v>45062</v>
      </c>
      <c r="J551" t="s">
        <v>120</v>
      </c>
      <c r="K551" t="s">
        <v>113</v>
      </c>
      <c r="L551" s="22" t="s">
        <v>58</v>
      </c>
      <c r="M551" s="8" t="s">
        <v>124</v>
      </c>
      <c r="N551" s="21" t="s">
        <v>127</v>
      </c>
    </row>
    <row r="552" spans="1:15" ht="15" x14ac:dyDescent="0.25">
      <c r="A552" t="s">
        <v>136</v>
      </c>
      <c r="B552" s="8" t="s">
        <v>182</v>
      </c>
      <c r="C552">
        <v>901.13</v>
      </c>
      <c r="D552" s="8" t="s">
        <v>182</v>
      </c>
      <c r="E552" t="s">
        <v>113</v>
      </c>
      <c r="F552" t="s">
        <v>19</v>
      </c>
      <c r="G552" t="s">
        <v>152</v>
      </c>
      <c r="H552" s="8" t="s">
        <v>107</v>
      </c>
      <c r="I552" s="5">
        <v>45062</v>
      </c>
      <c r="J552" t="s">
        <v>120</v>
      </c>
      <c r="K552" t="s">
        <v>113</v>
      </c>
      <c r="L552" s="22" t="s">
        <v>58</v>
      </c>
      <c r="M552" s="8" t="s">
        <v>124</v>
      </c>
      <c r="N552" s="21" t="s">
        <v>127</v>
      </c>
    </row>
    <row r="553" spans="1:15" ht="15" x14ac:dyDescent="0.25">
      <c r="A553" t="s">
        <v>136</v>
      </c>
      <c r="B553" s="8" t="s">
        <v>182</v>
      </c>
      <c r="C553">
        <v>901.13</v>
      </c>
      <c r="D553" s="8" t="s">
        <v>182</v>
      </c>
      <c r="E553" t="s">
        <v>121</v>
      </c>
      <c r="F553" t="s">
        <v>19</v>
      </c>
      <c r="G553" t="s">
        <v>157</v>
      </c>
      <c r="H553" s="8" t="s">
        <v>107</v>
      </c>
      <c r="I553" s="5">
        <v>45062</v>
      </c>
      <c r="J553" t="s">
        <v>119</v>
      </c>
      <c r="K553" t="s">
        <v>121</v>
      </c>
      <c r="L553" s="22">
        <v>3.4000000000000002E-2</v>
      </c>
      <c r="M553" s="8" t="s">
        <v>124</v>
      </c>
      <c r="N553" s="21" t="s">
        <v>127</v>
      </c>
      <c r="O553" s="8" t="s">
        <v>125</v>
      </c>
    </row>
    <row r="554" spans="1:15" ht="15" x14ac:dyDescent="0.25">
      <c r="A554" t="s">
        <v>136</v>
      </c>
      <c r="B554" s="8" t="s">
        <v>182</v>
      </c>
      <c r="C554">
        <v>901.13</v>
      </c>
      <c r="D554" s="8" t="s">
        <v>182</v>
      </c>
      <c r="E554" t="s">
        <v>112</v>
      </c>
      <c r="F554" t="s">
        <v>19</v>
      </c>
      <c r="G554" t="s">
        <v>158</v>
      </c>
      <c r="H554" s="8" t="s">
        <v>107</v>
      </c>
      <c r="I554" s="5">
        <v>45062</v>
      </c>
      <c r="J554" t="s">
        <v>119</v>
      </c>
      <c r="K554" t="s">
        <v>112</v>
      </c>
      <c r="L554" s="22" t="s">
        <v>58</v>
      </c>
      <c r="M554" s="8" t="s">
        <v>124</v>
      </c>
      <c r="N554" s="21" t="s">
        <v>127</v>
      </c>
    </row>
    <row r="555" spans="1:15" ht="15" x14ac:dyDescent="0.25">
      <c r="A555" t="s">
        <v>136</v>
      </c>
      <c r="B555" s="8" t="s">
        <v>182</v>
      </c>
      <c r="C555">
        <v>901.13</v>
      </c>
      <c r="D555" s="8" t="s">
        <v>182</v>
      </c>
      <c r="E555" t="s">
        <v>121</v>
      </c>
      <c r="F555" t="s">
        <v>19</v>
      </c>
      <c r="G555" t="s">
        <v>162</v>
      </c>
      <c r="H555" s="8" t="s">
        <v>107</v>
      </c>
      <c r="I555" s="5">
        <v>45062</v>
      </c>
      <c r="J555" t="s">
        <v>23</v>
      </c>
      <c r="K555" t="s">
        <v>121</v>
      </c>
      <c r="L555" s="22">
        <v>3.8300000000000001E-3</v>
      </c>
      <c r="M555" s="8" t="s">
        <v>124</v>
      </c>
      <c r="N555" s="21" t="s">
        <v>127</v>
      </c>
      <c r="O555" s="8" t="s">
        <v>126</v>
      </c>
    </row>
    <row r="556" spans="1:15" ht="15" x14ac:dyDescent="0.25">
      <c r="A556" t="s">
        <v>136</v>
      </c>
      <c r="B556" s="8" t="s">
        <v>182</v>
      </c>
      <c r="C556">
        <v>901.13</v>
      </c>
      <c r="D556" s="8" t="s">
        <v>182</v>
      </c>
      <c r="E556" t="s">
        <v>121</v>
      </c>
      <c r="F556" t="s">
        <v>19</v>
      </c>
      <c r="G556" t="s">
        <v>172</v>
      </c>
      <c r="H556" s="8" t="s">
        <v>107</v>
      </c>
      <c r="I556" s="5">
        <v>45062</v>
      </c>
      <c r="J556" t="s">
        <v>23</v>
      </c>
      <c r="K556" t="s">
        <v>121</v>
      </c>
      <c r="L556" s="22">
        <v>2.3479999999999998E-3</v>
      </c>
      <c r="M556" s="8" t="s">
        <v>124</v>
      </c>
      <c r="N556" s="21" t="s">
        <v>127</v>
      </c>
      <c r="O556" s="8" t="s">
        <v>126</v>
      </c>
    </row>
    <row r="557" spans="1:15" ht="15" x14ac:dyDescent="0.25">
      <c r="A557" t="s">
        <v>136</v>
      </c>
      <c r="B557" s="8" t="s">
        <v>182</v>
      </c>
      <c r="C557">
        <v>901.13</v>
      </c>
      <c r="D557" s="8" t="s">
        <v>182</v>
      </c>
      <c r="E557" t="s">
        <v>113</v>
      </c>
      <c r="F557" t="s">
        <v>19</v>
      </c>
      <c r="G557" t="s">
        <v>175</v>
      </c>
      <c r="H557" s="8" t="s">
        <v>107</v>
      </c>
      <c r="I557" s="5">
        <v>45062</v>
      </c>
      <c r="J557" t="s">
        <v>120</v>
      </c>
      <c r="K557" t="s">
        <v>113</v>
      </c>
      <c r="L557" s="22">
        <v>1E-3</v>
      </c>
      <c r="M557" s="8" t="s">
        <v>124</v>
      </c>
      <c r="N557" s="21" t="s">
        <v>127</v>
      </c>
      <c r="O557" s="8" t="s">
        <v>125</v>
      </c>
    </row>
    <row r="558" spans="1:15" ht="15" x14ac:dyDescent="0.25">
      <c r="A558" t="s">
        <v>136</v>
      </c>
      <c r="B558" s="8" t="s">
        <v>182</v>
      </c>
      <c r="C558">
        <v>901.13</v>
      </c>
      <c r="D558" s="8" t="s">
        <v>182</v>
      </c>
      <c r="E558" t="s">
        <v>121</v>
      </c>
      <c r="F558" t="s">
        <v>19</v>
      </c>
      <c r="G558" t="s">
        <v>176</v>
      </c>
      <c r="H558" s="8" t="s">
        <v>107</v>
      </c>
      <c r="I558" s="5">
        <v>45062</v>
      </c>
      <c r="J558" t="s">
        <v>23</v>
      </c>
      <c r="K558" t="s">
        <v>121</v>
      </c>
      <c r="L558" s="22">
        <v>0.26250000000000001</v>
      </c>
      <c r="M558" s="8" t="s">
        <v>124</v>
      </c>
      <c r="N558" s="21" t="s">
        <v>127</v>
      </c>
      <c r="O558" s="8" t="s">
        <v>126</v>
      </c>
    </row>
    <row r="559" spans="1:15" ht="15" x14ac:dyDescent="0.25">
      <c r="A559" t="s">
        <v>136</v>
      </c>
      <c r="B559" s="8" t="s">
        <v>182</v>
      </c>
      <c r="C559">
        <v>901.13</v>
      </c>
      <c r="D559" s="8" t="s">
        <v>182</v>
      </c>
      <c r="E559" t="s">
        <v>121</v>
      </c>
      <c r="F559" t="s">
        <v>19</v>
      </c>
      <c r="G559" t="s">
        <v>180</v>
      </c>
      <c r="H559" s="8" t="s">
        <v>107</v>
      </c>
      <c r="I559" s="5">
        <v>45062</v>
      </c>
      <c r="J559" t="s">
        <v>23</v>
      </c>
      <c r="K559" t="s">
        <v>121</v>
      </c>
      <c r="L559" s="22">
        <v>0</v>
      </c>
      <c r="M559" s="8" t="s">
        <v>124</v>
      </c>
      <c r="N559" s="21" t="s">
        <v>127</v>
      </c>
      <c r="O559" s="8" t="s">
        <v>125</v>
      </c>
    </row>
    <row r="560" spans="1:15" ht="15" x14ac:dyDescent="0.25">
      <c r="A560" t="s">
        <v>140</v>
      </c>
      <c r="B560" s="8" t="s">
        <v>182</v>
      </c>
      <c r="C560">
        <v>901.13</v>
      </c>
      <c r="D560" s="8" t="s">
        <v>182</v>
      </c>
      <c r="E560" t="s">
        <v>113</v>
      </c>
      <c r="F560" t="s">
        <v>19</v>
      </c>
      <c r="G560" t="s">
        <v>177</v>
      </c>
      <c r="H560" s="8" t="s">
        <v>107</v>
      </c>
      <c r="I560" s="5">
        <v>45064</v>
      </c>
      <c r="J560" t="s">
        <v>119</v>
      </c>
      <c r="K560" t="s">
        <v>113</v>
      </c>
      <c r="L560" s="22" t="s">
        <v>58</v>
      </c>
      <c r="M560" s="8" t="s">
        <v>124</v>
      </c>
      <c r="N560" s="21" t="s">
        <v>127</v>
      </c>
    </row>
    <row r="561" spans="1:15" ht="15" x14ac:dyDescent="0.25">
      <c r="A561" t="s">
        <v>139</v>
      </c>
      <c r="B561" s="8" t="s">
        <v>182</v>
      </c>
      <c r="C561">
        <v>901.13</v>
      </c>
      <c r="D561" s="8" t="s">
        <v>182</v>
      </c>
      <c r="E561" t="s">
        <v>121</v>
      </c>
      <c r="F561" t="s">
        <v>19</v>
      </c>
      <c r="G561" t="s">
        <v>161</v>
      </c>
      <c r="H561" s="8" t="s">
        <v>107</v>
      </c>
      <c r="I561" s="5">
        <v>45069</v>
      </c>
      <c r="J561" t="s">
        <v>23</v>
      </c>
      <c r="K561" t="s">
        <v>121</v>
      </c>
      <c r="L561" s="22">
        <v>6.6744999999999999E-2</v>
      </c>
      <c r="M561" s="8" t="s">
        <v>124</v>
      </c>
      <c r="N561" s="21" t="s">
        <v>127</v>
      </c>
      <c r="O561" s="8" t="s">
        <v>126</v>
      </c>
    </row>
    <row r="562" spans="1:15" ht="15" x14ac:dyDescent="0.25">
      <c r="A562" t="s">
        <v>139</v>
      </c>
      <c r="B562" s="8" t="s">
        <v>182</v>
      </c>
      <c r="C562">
        <v>901.13</v>
      </c>
      <c r="D562" s="8" t="s">
        <v>182</v>
      </c>
      <c r="E562" t="s">
        <v>121</v>
      </c>
      <c r="F562" t="s">
        <v>19</v>
      </c>
      <c r="G562" t="s">
        <v>181</v>
      </c>
      <c r="H562" s="8" t="s">
        <v>107</v>
      </c>
      <c r="I562" s="5">
        <v>45069</v>
      </c>
      <c r="J562" t="s">
        <v>23</v>
      </c>
      <c r="K562" t="s">
        <v>121</v>
      </c>
      <c r="L562" s="22">
        <v>7.0000000000000001E-3</v>
      </c>
      <c r="M562" s="8" t="s">
        <v>124</v>
      </c>
      <c r="N562" s="21" t="s">
        <v>127</v>
      </c>
      <c r="O562" s="8" t="s">
        <v>125</v>
      </c>
    </row>
    <row r="563" spans="1:15" ht="15" x14ac:dyDescent="0.25">
      <c r="A563" t="s">
        <v>138</v>
      </c>
      <c r="B563" s="8" t="s">
        <v>182</v>
      </c>
      <c r="C563">
        <v>901.13</v>
      </c>
      <c r="D563" s="8" t="s">
        <v>182</v>
      </c>
      <c r="E563" t="s">
        <v>112</v>
      </c>
      <c r="F563" t="s">
        <v>19</v>
      </c>
      <c r="G563" t="s">
        <v>146</v>
      </c>
      <c r="H563" s="8" t="s">
        <v>107</v>
      </c>
      <c r="I563" s="5">
        <v>45076</v>
      </c>
      <c r="J563" t="s">
        <v>23</v>
      </c>
      <c r="K563" t="s">
        <v>112</v>
      </c>
      <c r="L563" s="22" t="s">
        <v>58</v>
      </c>
      <c r="M563" s="8" t="s">
        <v>124</v>
      </c>
      <c r="N563" s="21" t="s">
        <v>127</v>
      </c>
    </row>
    <row r="564" spans="1:15" ht="15" x14ac:dyDescent="0.25">
      <c r="A564" t="s">
        <v>138</v>
      </c>
      <c r="B564" s="8" t="s">
        <v>182</v>
      </c>
      <c r="C564">
        <v>901.13</v>
      </c>
      <c r="D564" s="8" t="s">
        <v>182</v>
      </c>
      <c r="E564" t="s">
        <v>58</v>
      </c>
      <c r="F564" t="s">
        <v>19</v>
      </c>
      <c r="G564" t="s">
        <v>147</v>
      </c>
      <c r="H564" s="8" t="s">
        <v>107</v>
      </c>
      <c r="I564" s="5">
        <v>45076</v>
      </c>
      <c r="J564" t="s">
        <v>114</v>
      </c>
      <c r="K564" t="s">
        <v>58</v>
      </c>
      <c r="L564" s="22" t="s">
        <v>58</v>
      </c>
      <c r="M564" s="8" t="s">
        <v>124</v>
      </c>
      <c r="N564" s="21" t="s">
        <v>127</v>
      </c>
    </row>
    <row r="565" spans="1:15" ht="15" x14ac:dyDescent="0.25">
      <c r="A565" t="s">
        <v>138</v>
      </c>
      <c r="B565" s="8" t="s">
        <v>182</v>
      </c>
      <c r="C565">
        <v>901.13</v>
      </c>
      <c r="D565" s="8" t="s">
        <v>182</v>
      </c>
      <c r="E565" t="s">
        <v>112</v>
      </c>
      <c r="F565" t="s">
        <v>19</v>
      </c>
      <c r="G565" t="s">
        <v>151</v>
      </c>
      <c r="H565" s="8" t="s">
        <v>107</v>
      </c>
      <c r="I565" s="5">
        <v>45076</v>
      </c>
      <c r="J565" t="s">
        <v>23</v>
      </c>
      <c r="K565" t="s">
        <v>112</v>
      </c>
      <c r="L565" s="22">
        <v>2.3E-2</v>
      </c>
      <c r="M565" s="8" t="s">
        <v>124</v>
      </c>
      <c r="N565" s="21" t="s">
        <v>127</v>
      </c>
      <c r="O565" s="8" t="s">
        <v>125</v>
      </c>
    </row>
    <row r="566" spans="1:15" ht="15" x14ac:dyDescent="0.25">
      <c r="A566" t="s">
        <v>138</v>
      </c>
      <c r="B566" s="8" t="s">
        <v>182</v>
      </c>
      <c r="C566">
        <v>901.13</v>
      </c>
      <c r="D566" s="8" t="s">
        <v>182</v>
      </c>
      <c r="E566" t="s">
        <v>121</v>
      </c>
      <c r="F566" t="s">
        <v>19</v>
      </c>
      <c r="G566" t="s">
        <v>145</v>
      </c>
      <c r="H566" s="8" t="s">
        <v>107</v>
      </c>
      <c r="I566" s="5">
        <v>45098</v>
      </c>
      <c r="J566" t="s">
        <v>23</v>
      </c>
      <c r="K566" t="s">
        <v>121</v>
      </c>
      <c r="L566" s="22">
        <v>1.4999999999999999E-2</v>
      </c>
      <c r="M566" s="8" t="s">
        <v>124</v>
      </c>
      <c r="N566" s="21" t="s">
        <v>127</v>
      </c>
      <c r="O566" s="8" t="s">
        <v>125</v>
      </c>
    </row>
    <row r="567" spans="1:15" ht="15" x14ac:dyDescent="0.25">
      <c r="A567" t="s">
        <v>138</v>
      </c>
      <c r="B567" s="8" t="s">
        <v>182</v>
      </c>
      <c r="C567">
        <v>901.13</v>
      </c>
      <c r="D567" s="8" t="s">
        <v>182</v>
      </c>
      <c r="E567" t="s">
        <v>112</v>
      </c>
      <c r="F567" t="s">
        <v>19</v>
      </c>
      <c r="G567" t="s">
        <v>165</v>
      </c>
      <c r="H567" s="8" t="s">
        <v>107</v>
      </c>
      <c r="I567" s="5">
        <v>45098</v>
      </c>
      <c r="J567" t="s">
        <v>23</v>
      </c>
      <c r="K567" t="s">
        <v>112</v>
      </c>
      <c r="L567" s="22">
        <v>3.0000000000000001E-3</v>
      </c>
      <c r="M567" s="8" t="s">
        <v>124</v>
      </c>
      <c r="N567" s="21" t="s">
        <v>127</v>
      </c>
      <c r="O567" s="8" t="s">
        <v>125</v>
      </c>
    </row>
    <row r="568" spans="1:15" ht="15" x14ac:dyDescent="0.25">
      <c r="A568" t="s">
        <v>138</v>
      </c>
      <c r="B568" s="8" t="s">
        <v>182</v>
      </c>
      <c r="C568">
        <v>901.13</v>
      </c>
      <c r="D568" s="8" t="s">
        <v>182</v>
      </c>
      <c r="E568" t="s">
        <v>121</v>
      </c>
      <c r="F568" t="s">
        <v>19</v>
      </c>
      <c r="G568" t="s">
        <v>171</v>
      </c>
      <c r="H568" s="8" t="s">
        <v>107</v>
      </c>
      <c r="I568" s="5">
        <v>45098</v>
      </c>
      <c r="J568" t="s">
        <v>23</v>
      </c>
      <c r="K568" t="s">
        <v>121</v>
      </c>
      <c r="L568" s="22">
        <v>0.03</v>
      </c>
      <c r="M568" s="8" t="s">
        <v>124</v>
      </c>
      <c r="N568" s="21" t="s">
        <v>127</v>
      </c>
      <c r="O568" s="8" t="s">
        <v>125</v>
      </c>
    </row>
    <row r="569" spans="1:15" ht="15" x14ac:dyDescent="0.25">
      <c r="A569" t="s">
        <v>139</v>
      </c>
      <c r="B569" s="8" t="s">
        <v>182</v>
      </c>
      <c r="C569">
        <v>901.13</v>
      </c>
      <c r="D569" s="8" t="s">
        <v>182</v>
      </c>
      <c r="E569"/>
      <c r="F569" t="s">
        <v>19</v>
      </c>
      <c r="G569" t="s">
        <v>150</v>
      </c>
      <c r="H569" s="8" t="s">
        <v>107</v>
      </c>
      <c r="I569" s="5">
        <v>45106</v>
      </c>
      <c r="J569" t="s">
        <v>23</v>
      </c>
      <c r="K569" t="s">
        <v>121</v>
      </c>
      <c r="L569" s="22">
        <v>0.04</v>
      </c>
      <c r="M569" s="8" t="s">
        <v>124</v>
      </c>
      <c r="N569" s="21" t="s">
        <v>127</v>
      </c>
      <c r="O569" s="8" t="s">
        <v>126</v>
      </c>
    </row>
    <row r="570" spans="1:15" ht="15" x14ac:dyDescent="0.25">
      <c r="A570" t="s">
        <v>139</v>
      </c>
      <c r="B570" s="8" t="s">
        <v>182</v>
      </c>
      <c r="C570">
        <v>901.13</v>
      </c>
      <c r="D570" s="8" t="s">
        <v>182</v>
      </c>
      <c r="E570"/>
      <c r="F570" t="s">
        <v>19</v>
      </c>
      <c r="G570" t="s">
        <v>155</v>
      </c>
      <c r="H570" s="8" t="s">
        <v>107</v>
      </c>
      <c r="I570" s="5">
        <v>45106</v>
      </c>
      <c r="J570" t="s">
        <v>119</v>
      </c>
      <c r="K570" t="s">
        <v>58</v>
      </c>
      <c r="L570" s="22" t="s">
        <v>58</v>
      </c>
      <c r="M570" s="8" t="s">
        <v>124</v>
      </c>
      <c r="N570" s="21" t="s">
        <v>127</v>
      </c>
    </row>
    <row r="571" spans="1:15" ht="15" x14ac:dyDescent="0.25">
      <c r="A571" t="s">
        <v>111</v>
      </c>
      <c r="B571" s="8" t="s">
        <v>182</v>
      </c>
      <c r="C571">
        <v>901.13</v>
      </c>
      <c r="D571" s="8" t="s">
        <v>182</v>
      </c>
      <c r="E571" t="s">
        <v>113</v>
      </c>
      <c r="F571" t="s">
        <v>19</v>
      </c>
      <c r="G571" t="s">
        <v>168</v>
      </c>
      <c r="H571" s="8" t="s">
        <v>107</v>
      </c>
      <c r="I571" s="5">
        <v>45106</v>
      </c>
      <c r="J571" t="s">
        <v>119</v>
      </c>
      <c r="K571" t="s">
        <v>113</v>
      </c>
      <c r="L571" s="22" t="s">
        <v>58</v>
      </c>
      <c r="M571" s="8" t="s">
        <v>124</v>
      </c>
      <c r="N571" s="21" t="s">
        <v>127</v>
      </c>
    </row>
    <row r="572" spans="1:15" ht="15" x14ac:dyDescent="0.25">
      <c r="A572" t="s">
        <v>111</v>
      </c>
      <c r="B572" s="8" t="s">
        <v>182</v>
      </c>
      <c r="C572">
        <v>901.13</v>
      </c>
      <c r="D572" s="8" t="s">
        <v>182</v>
      </c>
      <c r="E572" t="s">
        <v>58</v>
      </c>
      <c r="F572" t="s">
        <v>19</v>
      </c>
      <c r="G572" t="s">
        <v>169</v>
      </c>
      <c r="H572" s="8" t="s">
        <v>107</v>
      </c>
      <c r="I572" s="5">
        <v>45106</v>
      </c>
      <c r="J572" t="s">
        <v>119</v>
      </c>
      <c r="K572" t="s">
        <v>58</v>
      </c>
      <c r="L572" s="22" t="s">
        <v>58</v>
      </c>
      <c r="M572" s="8" t="s">
        <v>124</v>
      </c>
      <c r="N572" s="21" t="s">
        <v>127</v>
      </c>
    </row>
    <row r="573" spans="1:15" ht="15" x14ac:dyDescent="0.25">
      <c r="A573" t="s">
        <v>139</v>
      </c>
      <c r="B573" s="8" t="s">
        <v>182</v>
      </c>
      <c r="C573">
        <v>901.13</v>
      </c>
      <c r="D573" s="8" t="s">
        <v>182</v>
      </c>
      <c r="E573"/>
      <c r="F573" t="s">
        <v>19</v>
      </c>
      <c r="G573" t="s">
        <v>174</v>
      </c>
      <c r="H573" s="8" t="s">
        <v>107</v>
      </c>
      <c r="I573" s="5">
        <v>45106</v>
      </c>
      <c r="J573" t="s">
        <v>119</v>
      </c>
      <c r="K573" t="s">
        <v>112</v>
      </c>
      <c r="L573" s="22" t="s">
        <v>58</v>
      </c>
      <c r="M573" s="8" t="s">
        <v>124</v>
      </c>
      <c r="N573" s="21" t="s">
        <v>127</v>
      </c>
    </row>
    <row r="574" spans="1:15" ht="15" x14ac:dyDescent="0.25">
      <c r="A574" t="s">
        <v>138</v>
      </c>
      <c r="B574" s="8" t="s">
        <v>182</v>
      </c>
      <c r="C574">
        <v>901.13</v>
      </c>
      <c r="D574" s="8" t="s">
        <v>182</v>
      </c>
      <c r="E574" t="s">
        <v>58</v>
      </c>
      <c r="F574" t="s">
        <v>19</v>
      </c>
      <c r="G574" t="s">
        <v>163</v>
      </c>
      <c r="H574" s="8" t="s">
        <v>107</v>
      </c>
      <c r="I574" s="5">
        <v>45107</v>
      </c>
      <c r="J574" t="s">
        <v>120</v>
      </c>
      <c r="K574" t="s">
        <v>58</v>
      </c>
      <c r="L574" s="22" t="s">
        <v>58</v>
      </c>
      <c r="M574" s="8" t="s">
        <v>124</v>
      </c>
      <c r="N574" s="21" t="s">
        <v>127</v>
      </c>
    </row>
    <row r="575" spans="1:15" ht="15" x14ac:dyDescent="0.25">
      <c r="A575" t="s">
        <v>137</v>
      </c>
      <c r="B575" s="8" t="s">
        <v>182</v>
      </c>
      <c r="C575">
        <v>901.13</v>
      </c>
      <c r="D575" s="8" t="s">
        <v>182</v>
      </c>
      <c r="E575" t="s">
        <v>121</v>
      </c>
      <c r="F575" t="s">
        <v>19</v>
      </c>
      <c r="G575" t="s">
        <v>142</v>
      </c>
      <c r="H575" s="8" t="s">
        <v>107</v>
      </c>
      <c r="I575" s="5">
        <v>45112</v>
      </c>
      <c r="J575" t="s">
        <v>23</v>
      </c>
      <c r="K575" t="s">
        <v>121</v>
      </c>
      <c r="L575" s="22">
        <v>2.4E-2</v>
      </c>
      <c r="M575" s="8" t="s">
        <v>124</v>
      </c>
      <c r="N575" s="21" t="s">
        <v>127</v>
      </c>
      <c r="O575" s="8" t="s">
        <v>125</v>
      </c>
    </row>
    <row r="576" spans="1:15" ht="15" x14ac:dyDescent="0.25">
      <c r="A576" t="s">
        <v>137</v>
      </c>
      <c r="B576" s="8" t="s">
        <v>182</v>
      </c>
      <c r="C576">
        <v>901.13</v>
      </c>
      <c r="D576" s="8" t="s">
        <v>182</v>
      </c>
      <c r="E576" t="s">
        <v>122</v>
      </c>
      <c r="F576" t="s">
        <v>19</v>
      </c>
      <c r="G576" t="s">
        <v>170</v>
      </c>
      <c r="H576" s="8" t="s">
        <v>107</v>
      </c>
      <c r="I576" s="5">
        <v>45112</v>
      </c>
      <c r="J576" t="s">
        <v>23</v>
      </c>
      <c r="K576" t="s">
        <v>122</v>
      </c>
      <c r="L576" s="22">
        <v>2E-3</v>
      </c>
      <c r="M576" s="8" t="s">
        <v>124</v>
      </c>
      <c r="N576" s="21" t="s">
        <v>127</v>
      </c>
      <c r="O576" s="8" t="s">
        <v>125</v>
      </c>
    </row>
    <row r="577" spans="1:15" ht="15" x14ac:dyDescent="0.25">
      <c r="A577" t="s">
        <v>139</v>
      </c>
      <c r="B577" s="8" t="s">
        <v>182</v>
      </c>
      <c r="C577">
        <v>901.13</v>
      </c>
      <c r="D577" s="8" t="s">
        <v>182</v>
      </c>
      <c r="E577" t="s">
        <v>121</v>
      </c>
      <c r="F577" t="s">
        <v>19</v>
      </c>
      <c r="G577" t="s">
        <v>161</v>
      </c>
      <c r="H577" s="8" t="s">
        <v>107</v>
      </c>
      <c r="I577" s="5">
        <v>45118</v>
      </c>
      <c r="J577" t="s">
        <v>23</v>
      </c>
      <c r="K577" t="s">
        <v>121</v>
      </c>
      <c r="L577" s="22">
        <v>3.5000000000000003E-2</v>
      </c>
      <c r="M577" s="8" t="s">
        <v>124</v>
      </c>
      <c r="N577" s="21" t="s">
        <v>127</v>
      </c>
      <c r="O577" s="8" t="s">
        <v>125</v>
      </c>
    </row>
    <row r="578" spans="1:15" ht="15" x14ac:dyDescent="0.25">
      <c r="A578" t="s">
        <v>136</v>
      </c>
      <c r="B578" s="8" t="s">
        <v>182</v>
      </c>
      <c r="C578">
        <v>901.13</v>
      </c>
      <c r="D578" s="8" t="s">
        <v>182</v>
      </c>
      <c r="E578" t="s">
        <v>121</v>
      </c>
      <c r="F578" t="s">
        <v>19</v>
      </c>
      <c r="G578" t="s">
        <v>176</v>
      </c>
      <c r="H578" s="8" t="s">
        <v>107</v>
      </c>
      <c r="I578" s="5">
        <v>45118</v>
      </c>
      <c r="J578" t="s">
        <v>23</v>
      </c>
      <c r="K578" t="s">
        <v>121</v>
      </c>
      <c r="L578" s="22">
        <v>0.22791400000000001</v>
      </c>
      <c r="M578" s="8" t="s">
        <v>124</v>
      </c>
      <c r="N578" s="21" t="s">
        <v>127</v>
      </c>
      <c r="O578" s="8" t="s">
        <v>126</v>
      </c>
    </row>
    <row r="579" spans="1:15" ht="15" x14ac:dyDescent="0.25">
      <c r="A579" t="s">
        <v>139</v>
      </c>
      <c r="B579" s="8" t="s">
        <v>182</v>
      </c>
      <c r="C579">
        <v>901.13</v>
      </c>
      <c r="D579" s="8" t="s">
        <v>182</v>
      </c>
      <c r="E579" t="s">
        <v>121</v>
      </c>
      <c r="F579" t="s">
        <v>19</v>
      </c>
      <c r="G579" t="s">
        <v>181</v>
      </c>
      <c r="H579" s="8" t="s">
        <v>107</v>
      </c>
      <c r="I579" s="5">
        <v>45118</v>
      </c>
      <c r="J579" t="s">
        <v>23</v>
      </c>
      <c r="K579" t="s">
        <v>121</v>
      </c>
      <c r="L579" s="22">
        <v>0.12141</v>
      </c>
      <c r="M579" s="8" t="s">
        <v>124</v>
      </c>
      <c r="N579" s="21" t="s">
        <v>127</v>
      </c>
      <c r="O579" s="8" t="s">
        <v>126</v>
      </c>
    </row>
    <row r="580" spans="1:15" ht="15" x14ac:dyDescent="0.25">
      <c r="A580" t="s">
        <v>136</v>
      </c>
      <c r="B580" s="8" t="s">
        <v>182</v>
      </c>
      <c r="C580">
        <v>901.13</v>
      </c>
      <c r="D580" s="8" t="s">
        <v>182</v>
      </c>
      <c r="E580" t="s">
        <v>113</v>
      </c>
      <c r="F580" t="s">
        <v>19</v>
      </c>
      <c r="G580" t="s">
        <v>159</v>
      </c>
      <c r="H580" s="8" t="s">
        <v>107</v>
      </c>
      <c r="I580" s="5">
        <v>45120</v>
      </c>
      <c r="J580" t="s">
        <v>23</v>
      </c>
      <c r="K580" t="s">
        <v>113</v>
      </c>
      <c r="L580" s="22">
        <v>1.2999999999999999E-2</v>
      </c>
      <c r="M580" s="8" t="s">
        <v>124</v>
      </c>
      <c r="N580" s="21" t="s">
        <v>127</v>
      </c>
      <c r="O580" s="8" t="s">
        <v>125</v>
      </c>
    </row>
    <row r="581" spans="1:15" ht="15" x14ac:dyDescent="0.25">
      <c r="A581" t="s">
        <v>136</v>
      </c>
      <c r="B581" s="8" t="s">
        <v>182</v>
      </c>
      <c r="C581">
        <v>901.13</v>
      </c>
      <c r="D581" s="8" t="s">
        <v>182</v>
      </c>
      <c r="E581" t="s">
        <v>121</v>
      </c>
      <c r="F581" t="s">
        <v>19</v>
      </c>
      <c r="G581" t="s">
        <v>160</v>
      </c>
      <c r="H581" s="8" t="s">
        <v>107</v>
      </c>
      <c r="I581" s="5">
        <v>45120</v>
      </c>
      <c r="J581" t="s">
        <v>119</v>
      </c>
      <c r="K581" t="s">
        <v>121</v>
      </c>
      <c r="L581" s="22">
        <v>6.1874999999999999E-2</v>
      </c>
      <c r="M581" s="8" t="s">
        <v>124</v>
      </c>
      <c r="N581" s="21" t="s">
        <v>127</v>
      </c>
      <c r="O581" s="8" t="s">
        <v>126</v>
      </c>
    </row>
    <row r="582" spans="1:15" ht="15" x14ac:dyDescent="0.25">
      <c r="A582" t="s">
        <v>137</v>
      </c>
      <c r="B582" s="8" t="s">
        <v>182</v>
      </c>
      <c r="C582">
        <v>901.13</v>
      </c>
      <c r="D582" s="8" t="s">
        <v>182</v>
      </c>
      <c r="E582" t="s">
        <v>112</v>
      </c>
      <c r="F582" t="s">
        <v>19</v>
      </c>
      <c r="G582" t="s">
        <v>179</v>
      </c>
      <c r="H582" s="8" t="s">
        <v>107</v>
      </c>
      <c r="I582" s="5">
        <v>45120</v>
      </c>
      <c r="J582" t="s">
        <v>114</v>
      </c>
      <c r="K582" t="s">
        <v>112</v>
      </c>
      <c r="L582" s="22" t="s">
        <v>58</v>
      </c>
      <c r="M582" s="8" t="s">
        <v>124</v>
      </c>
      <c r="N582" s="21" t="s">
        <v>127</v>
      </c>
    </row>
    <row r="583" spans="1:15" ht="15" x14ac:dyDescent="0.25">
      <c r="A583" t="s">
        <v>136</v>
      </c>
      <c r="B583" s="8" t="s">
        <v>182</v>
      </c>
      <c r="C583">
        <v>901.13</v>
      </c>
      <c r="D583" s="8" t="s">
        <v>182</v>
      </c>
      <c r="E583" t="s">
        <v>123</v>
      </c>
      <c r="F583" t="s">
        <v>19</v>
      </c>
      <c r="G583" t="s">
        <v>143</v>
      </c>
      <c r="H583" s="8" t="s">
        <v>107</v>
      </c>
      <c r="I583" s="5">
        <v>45124</v>
      </c>
      <c r="J583" t="s">
        <v>119</v>
      </c>
      <c r="K583" t="s">
        <v>123</v>
      </c>
      <c r="L583" s="22" t="s">
        <v>58</v>
      </c>
      <c r="M583" s="8" t="s">
        <v>124</v>
      </c>
      <c r="N583" s="21" t="s">
        <v>127</v>
      </c>
    </row>
    <row r="584" spans="1:15" ht="15" x14ac:dyDescent="0.25">
      <c r="A584" t="s">
        <v>136</v>
      </c>
      <c r="B584" s="8" t="s">
        <v>182</v>
      </c>
      <c r="C584">
        <v>901.13</v>
      </c>
      <c r="D584" s="8" t="s">
        <v>182</v>
      </c>
      <c r="E584" t="s">
        <v>113</v>
      </c>
      <c r="F584" t="s">
        <v>19</v>
      </c>
      <c r="G584" t="s">
        <v>144</v>
      </c>
      <c r="H584" s="8" t="s">
        <v>107</v>
      </c>
      <c r="I584" s="5">
        <v>45124</v>
      </c>
      <c r="J584" t="s">
        <v>119</v>
      </c>
      <c r="K584" t="s">
        <v>113</v>
      </c>
      <c r="L584" s="22" t="s">
        <v>58</v>
      </c>
      <c r="M584" s="8" t="s">
        <v>124</v>
      </c>
      <c r="N584" s="21" t="s">
        <v>127</v>
      </c>
    </row>
    <row r="585" spans="1:15" ht="15" x14ac:dyDescent="0.25">
      <c r="A585" t="s">
        <v>136</v>
      </c>
      <c r="B585" s="8" t="s">
        <v>182</v>
      </c>
      <c r="C585">
        <v>901.13</v>
      </c>
      <c r="D585" s="8" t="s">
        <v>182</v>
      </c>
      <c r="E585" t="s">
        <v>121</v>
      </c>
      <c r="F585" t="s">
        <v>19</v>
      </c>
      <c r="G585" t="s">
        <v>153</v>
      </c>
      <c r="H585" s="8" t="s">
        <v>107</v>
      </c>
      <c r="I585" s="5">
        <v>45124</v>
      </c>
      <c r="J585" t="s">
        <v>23</v>
      </c>
      <c r="K585" t="s">
        <v>121</v>
      </c>
      <c r="L585" s="22" t="s">
        <v>58</v>
      </c>
      <c r="M585" s="8" t="s">
        <v>124</v>
      </c>
      <c r="N585" s="21" t="s">
        <v>127</v>
      </c>
    </row>
    <row r="586" spans="1:15" ht="15" x14ac:dyDescent="0.25">
      <c r="A586" t="s">
        <v>139</v>
      </c>
      <c r="B586" s="8" t="s">
        <v>182</v>
      </c>
      <c r="C586">
        <v>901.13</v>
      </c>
      <c r="D586" s="8" t="s">
        <v>182</v>
      </c>
      <c r="E586" t="s">
        <v>121</v>
      </c>
      <c r="F586" t="s">
        <v>19</v>
      </c>
      <c r="G586" t="s">
        <v>161</v>
      </c>
      <c r="H586" s="8" t="s">
        <v>107</v>
      </c>
      <c r="I586" s="5">
        <v>45125</v>
      </c>
      <c r="J586" t="s">
        <v>23</v>
      </c>
      <c r="K586" t="s">
        <v>121</v>
      </c>
      <c r="L586" s="22">
        <v>2.3E-2</v>
      </c>
      <c r="M586" s="8" t="s">
        <v>124</v>
      </c>
      <c r="N586" s="21" t="s">
        <v>127</v>
      </c>
      <c r="O586" s="8" t="s">
        <v>125</v>
      </c>
    </row>
    <row r="587" spans="1:15" ht="15" x14ac:dyDescent="0.25">
      <c r="A587" t="s">
        <v>136</v>
      </c>
      <c r="B587" s="8" t="s">
        <v>182</v>
      </c>
      <c r="C587">
        <v>901.13</v>
      </c>
      <c r="D587" s="8" t="s">
        <v>182</v>
      </c>
      <c r="E587" t="s">
        <v>121</v>
      </c>
      <c r="F587" t="s">
        <v>19</v>
      </c>
      <c r="G587" t="s">
        <v>176</v>
      </c>
      <c r="H587" s="8" t="s">
        <v>107</v>
      </c>
      <c r="I587" s="5">
        <v>45125</v>
      </c>
      <c r="J587" t="s">
        <v>23</v>
      </c>
      <c r="K587" t="s">
        <v>121</v>
      </c>
      <c r="L587" s="22">
        <v>0.20418700000000001</v>
      </c>
      <c r="M587" s="8" t="s">
        <v>124</v>
      </c>
      <c r="N587" s="21" t="s">
        <v>127</v>
      </c>
      <c r="O587" s="8" t="s">
        <v>126</v>
      </c>
    </row>
    <row r="588" spans="1:15" ht="15" x14ac:dyDescent="0.25">
      <c r="A588" t="s">
        <v>139</v>
      </c>
      <c r="B588" s="8" t="s">
        <v>182</v>
      </c>
      <c r="C588">
        <v>901.13</v>
      </c>
      <c r="D588" s="8" t="s">
        <v>182</v>
      </c>
      <c r="E588" t="s">
        <v>121</v>
      </c>
      <c r="F588" t="s">
        <v>19</v>
      </c>
      <c r="G588" t="s">
        <v>181</v>
      </c>
      <c r="H588" s="8" t="s">
        <v>107</v>
      </c>
      <c r="I588" s="5">
        <v>45125</v>
      </c>
      <c r="J588" t="s">
        <v>23</v>
      </c>
      <c r="K588" t="s">
        <v>121</v>
      </c>
      <c r="L588" s="22">
        <v>5.0000000000000001E-3</v>
      </c>
      <c r="M588" s="8" t="s">
        <v>124</v>
      </c>
      <c r="N588" s="21" t="s">
        <v>127</v>
      </c>
      <c r="O588" s="8" t="s">
        <v>125</v>
      </c>
    </row>
    <row r="589" spans="1:15" ht="15" x14ac:dyDescent="0.25">
      <c r="A589" t="s">
        <v>138</v>
      </c>
      <c r="B589" s="8" t="s">
        <v>182</v>
      </c>
      <c r="C589">
        <v>901.13</v>
      </c>
      <c r="D589" s="8" t="s">
        <v>182</v>
      </c>
      <c r="E589" t="s">
        <v>121</v>
      </c>
      <c r="F589" t="s">
        <v>19</v>
      </c>
      <c r="G589" t="s">
        <v>156</v>
      </c>
      <c r="H589" s="8" t="s">
        <v>107</v>
      </c>
      <c r="I589" s="5">
        <v>45126</v>
      </c>
      <c r="J589" t="s">
        <v>23</v>
      </c>
      <c r="K589" t="s">
        <v>121</v>
      </c>
      <c r="L589" s="22">
        <v>2.8000000000000001E-2</v>
      </c>
      <c r="M589" s="8" t="s">
        <v>124</v>
      </c>
      <c r="N589" s="21" t="s">
        <v>127</v>
      </c>
      <c r="O589" s="8" t="s">
        <v>125</v>
      </c>
    </row>
    <row r="590" spans="1:15" ht="15" x14ac:dyDescent="0.25">
      <c r="A590" t="s">
        <v>138</v>
      </c>
      <c r="B590" s="8" t="s">
        <v>182</v>
      </c>
      <c r="C590">
        <v>901.13</v>
      </c>
      <c r="D590" s="8" t="s">
        <v>182</v>
      </c>
      <c r="E590" t="s">
        <v>121</v>
      </c>
      <c r="F590" t="s">
        <v>19</v>
      </c>
      <c r="G590" t="s">
        <v>173</v>
      </c>
      <c r="H590" s="8" t="s">
        <v>107</v>
      </c>
      <c r="I590" s="5">
        <v>45126</v>
      </c>
      <c r="J590" t="s">
        <v>23</v>
      </c>
      <c r="K590" t="s">
        <v>121</v>
      </c>
      <c r="L590" s="22">
        <v>3.0000000000000001E-3</v>
      </c>
      <c r="M590" s="8" t="s">
        <v>124</v>
      </c>
      <c r="N590" s="21" t="s">
        <v>127</v>
      </c>
      <c r="O590" s="8" t="s">
        <v>125</v>
      </c>
    </row>
    <row r="591" spans="1:15" ht="15" x14ac:dyDescent="0.25">
      <c r="A591" t="s">
        <v>139</v>
      </c>
      <c r="B591" s="8" t="s">
        <v>182</v>
      </c>
      <c r="C591">
        <v>901.13</v>
      </c>
      <c r="D591" s="8" t="s">
        <v>182</v>
      </c>
      <c r="E591" t="s">
        <v>121</v>
      </c>
      <c r="F591" t="s">
        <v>19</v>
      </c>
      <c r="G591" t="s">
        <v>161</v>
      </c>
      <c r="H591" s="8" t="s">
        <v>107</v>
      </c>
      <c r="I591" s="5">
        <v>45132</v>
      </c>
      <c r="J591" t="s">
        <v>23</v>
      </c>
      <c r="K591" t="s">
        <v>121</v>
      </c>
      <c r="L591" s="22">
        <v>3.1E-2</v>
      </c>
      <c r="M591" s="8" t="s">
        <v>124</v>
      </c>
      <c r="N591" s="21" t="s">
        <v>127</v>
      </c>
      <c r="O591" s="8" t="s">
        <v>125</v>
      </c>
    </row>
    <row r="592" spans="1:15" ht="15" x14ac:dyDescent="0.25">
      <c r="A592" t="s">
        <v>136</v>
      </c>
      <c r="B592" s="8" t="s">
        <v>182</v>
      </c>
      <c r="C592">
        <v>901.13</v>
      </c>
      <c r="D592" s="8" t="s">
        <v>182</v>
      </c>
      <c r="E592" t="s">
        <v>121</v>
      </c>
      <c r="F592" t="s">
        <v>19</v>
      </c>
      <c r="G592" t="s">
        <v>176</v>
      </c>
      <c r="H592" s="8" t="s">
        <v>107</v>
      </c>
      <c r="I592" s="5">
        <v>45132</v>
      </c>
      <c r="J592" t="s">
        <v>23</v>
      </c>
      <c r="K592" t="s">
        <v>121</v>
      </c>
      <c r="L592" s="22">
        <v>0.29967100000000002</v>
      </c>
      <c r="M592" s="8" t="s">
        <v>124</v>
      </c>
      <c r="N592" s="21" t="s">
        <v>127</v>
      </c>
      <c r="O592" s="8" t="s">
        <v>126</v>
      </c>
    </row>
    <row r="593" spans="1:15" ht="15" x14ac:dyDescent="0.25">
      <c r="A593" t="s">
        <v>139</v>
      </c>
      <c r="B593" s="8" t="s">
        <v>182</v>
      </c>
      <c r="C593">
        <v>901.13</v>
      </c>
      <c r="D593" s="8" t="s">
        <v>182</v>
      </c>
      <c r="E593" t="s">
        <v>121</v>
      </c>
      <c r="F593" t="s">
        <v>19</v>
      </c>
      <c r="G593" t="s">
        <v>181</v>
      </c>
      <c r="H593" s="8" t="s">
        <v>107</v>
      </c>
      <c r="I593" s="5">
        <v>45132</v>
      </c>
      <c r="J593" t="s">
        <v>23</v>
      </c>
      <c r="K593" t="s">
        <v>121</v>
      </c>
      <c r="L593" s="22">
        <v>3.0000000000000001E-3</v>
      </c>
      <c r="M593" s="8" t="s">
        <v>124</v>
      </c>
      <c r="N593" s="21" t="s">
        <v>127</v>
      </c>
      <c r="O593" s="8" t="s">
        <v>125</v>
      </c>
    </row>
    <row r="594" spans="1:15" ht="15" x14ac:dyDescent="0.25">
      <c r="A594" t="s">
        <v>139</v>
      </c>
      <c r="B594" s="8" t="s">
        <v>182</v>
      </c>
      <c r="C594">
        <v>901.13</v>
      </c>
      <c r="D594" s="8" t="s">
        <v>182</v>
      </c>
      <c r="E594" t="s">
        <v>121</v>
      </c>
      <c r="F594" t="s">
        <v>19</v>
      </c>
      <c r="G594" t="s">
        <v>166</v>
      </c>
      <c r="H594" s="8" t="s">
        <v>107</v>
      </c>
      <c r="I594" s="5">
        <v>45133</v>
      </c>
      <c r="J594" t="s">
        <v>23</v>
      </c>
      <c r="K594" t="s">
        <v>121</v>
      </c>
      <c r="L594" s="22">
        <v>6.0000000000000001E-3</v>
      </c>
      <c r="M594" s="8" t="s">
        <v>124</v>
      </c>
      <c r="N594" s="21" t="s">
        <v>127</v>
      </c>
      <c r="O594" s="8" t="s">
        <v>125</v>
      </c>
    </row>
    <row r="595" spans="1:15" ht="15" x14ac:dyDescent="0.25">
      <c r="A595" t="s">
        <v>138</v>
      </c>
      <c r="B595" s="8" t="s">
        <v>182</v>
      </c>
      <c r="C595">
        <v>901.13</v>
      </c>
      <c r="D595" s="8" t="s">
        <v>182</v>
      </c>
      <c r="E595" t="s">
        <v>113</v>
      </c>
      <c r="F595" t="s">
        <v>19</v>
      </c>
      <c r="G595" t="s">
        <v>167</v>
      </c>
      <c r="H595" s="8" t="s">
        <v>107</v>
      </c>
      <c r="I595" s="5">
        <v>45133</v>
      </c>
      <c r="J595" t="s">
        <v>119</v>
      </c>
      <c r="K595" t="s">
        <v>113</v>
      </c>
      <c r="L595" s="22" t="s">
        <v>58</v>
      </c>
      <c r="M595" s="8" t="s">
        <v>124</v>
      </c>
      <c r="N595" s="21" t="s">
        <v>127</v>
      </c>
    </row>
    <row r="596" spans="1:15" ht="15" x14ac:dyDescent="0.25">
      <c r="A596" t="s">
        <v>136</v>
      </c>
      <c r="B596" s="8" t="s">
        <v>182</v>
      </c>
      <c r="C596">
        <v>901.13</v>
      </c>
      <c r="D596" s="8" t="s">
        <v>182</v>
      </c>
      <c r="E596" t="s">
        <v>113</v>
      </c>
      <c r="F596" t="s">
        <v>19</v>
      </c>
      <c r="G596" t="s">
        <v>148</v>
      </c>
      <c r="H596" s="8" t="s">
        <v>107</v>
      </c>
      <c r="I596" s="5">
        <v>45134</v>
      </c>
      <c r="J596" t="s">
        <v>114</v>
      </c>
      <c r="K596" t="s">
        <v>113</v>
      </c>
      <c r="L596" s="22" t="s">
        <v>58</v>
      </c>
      <c r="M596" s="8" t="s">
        <v>124</v>
      </c>
      <c r="N596" s="21" t="s">
        <v>127</v>
      </c>
    </row>
    <row r="597" spans="1:15" ht="15" x14ac:dyDescent="0.25">
      <c r="A597" t="s">
        <v>136</v>
      </c>
      <c r="B597" s="8" t="s">
        <v>182</v>
      </c>
      <c r="C597">
        <v>901.13</v>
      </c>
      <c r="D597" s="8" t="s">
        <v>182</v>
      </c>
      <c r="E597" t="s">
        <v>122</v>
      </c>
      <c r="F597" t="s">
        <v>19</v>
      </c>
      <c r="G597" t="s">
        <v>149</v>
      </c>
      <c r="H597" s="8" t="s">
        <v>107</v>
      </c>
      <c r="I597" s="5">
        <v>45134</v>
      </c>
      <c r="J597" t="s">
        <v>23</v>
      </c>
      <c r="K597" t="s">
        <v>122</v>
      </c>
      <c r="L597" s="22">
        <v>2.4E-2</v>
      </c>
      <c r="M597" s="8" t="s">
        <v>124</v>
      </c>
      <c r="N597" s="21" t="s">
        <v>127</v>
      </c>
      <c r="O597" s="8" t="s">
        <v>126</v>
      </c>
    </row>
    <row r="598" spans="1:15" ht="15" x14ac:dyDescent="0.25">
      <c r="A598" t="s">
        <v>136</v>
      </c>
      <c r="B598" s="8" t="s">
        <v>182</v>
      </c>
      <c r="C598">
        <v>901.13</v>
      </c>
      <c r="D598" s="8" t="s">
        <v>182</v>
      </c>
      <c r="E598" t="s">
        <v>113</v>
      </c>
      <c r="F598" t="s">
        <v>19</v>
      </c>
      <c r="G598" t="s">
        <v>154</v>
      </c>
      <c r="H598" s="8" t="s">
        <v>107</v>
      </c>
      <c r="I598" s="5">
        <v>45134</v>
      </c>
      <c r="J598" t="s">
        <v>114</v>
      </c>
      <c r="K598" t="s">
        <v>113</v>
      </c>
      <c r="L598" s="22" t="s">
        <v>58</v>
      </c>
      <c r="M598" s="8" t="s">
        <v>124</v>
      </c>
      <c r="N598" s="21" t="s">
        <v>127</v>
      </c>
    </row>
    <row r="599" spans="1:15" ht="15" x14ac:dyDescent="0.25">
      <c r="A599" t="s">
        <v>136</v>
      </c>
      <c r="B599" s="8" t="s">
        <v>182</v>
      </c>
      <c r="C599">
        <v>901.13</v>
      </c>
      <c r="D599" s="8" t="s">
        <v>182</v>
      </c>
      <c r="E599" t="s">
        <v>113</v>
      </c>
      <c r="F599" t="s">
        <v>19</v>
      </c>
      <c r="G599" t="s">
        <v>178</v>
      </c>
      <c r="H599" s="8" t="s">
        <v>107</v>
      </c>
      <c r="I599" s="5">
        <v>45134</v>
      </c>
      <c r="J599" t="s">
        <v>119</v>
      </c>
      <c r="K599" t="s">
        <v>113</v>
      </c>
      <c r="L599" s="22" t="s">
        <v>58</v>
      </c>
      <c r="M599" s="8" t="s">
        <v>124</v>
      </c>
      <c r="N599" s="21" t="s">
        <v>127</v>
      </c>
    </row>
    <row r="600" spans="1:15" ht="15" x14ac:dyDescent="0.25">
      <c r="A600" t="s">
        <v>139</v>
      </c>
      <c r="B600" s="8" t="s">
        <v>182</v>
      </c>
      <c r="C600">
        <v>901.13</v>
      </c>
      <c r="D600" s="8" t="s">
        <v>182</v>
      </c>
      <c r="E600" t="s">
        <v>121</v>
      </c>
      <c r="F600" t="s">
        <v>19</v>
      </c>
      <c r="G600" t="s">
        <v>161</v>
      </c>
      <c r="H600" s="8" t="s">
        <v>107</v>
      </c>
      <c r="I600" s="5">
        <v>45139</v>
      </c>
      <c r="J600" t="s">
        <v>23</v>
      </c>
      <c r="K600" t="s">
        <v>121</v>
      </c>
      <c r="L600" s="22">
        <v>3.2000000000000001E-2</v>
      </c>
      <c r="M600" s="8" t="s">
        <v>124</v>
      </c>
      <c r="N600" s="21" t="s">
        <v>127</v>
      </c>
      <c r="O600" s="8" t="s">
        <v>125</v>
      </c>
    </row>
    <row r="601" spans="1:15" ht="15" x14ac:dyDescent="0.25">
      <c r="A601" t="s">
        <v>136</v>
      </c>
      <c r="B601" s="8" t="s">
        <v>182</v>
      </c>
      <c r="C601">
        <v>901.13</v>
      </c>
      <c r="D601" s="8" t="s">
        <v>182</v>
      </c>
      <c r="E601" t="s">
        <v>121</v>
      </c>
      <c r="F601" t="s">
        <v>19</v>
      </c>
      <c r="G601" t="s">
        <v>176</v>
      </c>
      <c r="H601" s="8" t="s">
        <v>107</v>
      </c>
      <c r="I601" s="5">
        <v>45139</v>
      </c>
      <c r="J601" t="s">
        <v>23</v>
      </c>
      <c r="K601" t="s">
        <v>121</v>
      </c>
      <c r="L601" s="22">
        <v>0.159079</v>
      </c>
      <c r="M601" s="8" t="s">
        <v>124</v>
      </c>
      <c r="N601" s="21" t="s">
        <v>127</v>
      </c>
      <c r="O601" s="8" t="s">
        <v>126</v>
      </c>
    </row>
    <row r="602" spans="1:15" ht="15" x14ac:dyDescent="0.25">
      <c r="A602" t="s">
        <v>139</v>
      </c>
      <c r="B602" s="8" t="s">
        <v>182</v>
      </c>
      <c r="C602">
        <v>901.13</v>
      </c>
      <c r="D602" s="8" t="s">
        <v>182</v>
      </c>
      <c r="E602" t="s">
        <v>121</v>
      </c>
      <c r="F602" t="s">
        <v>19</v>
      </c>
      <c r="G602" t="s">
        <v>181</v>
      </c>
      <c r="H602" s="8" t="s">
        <v>107</v>
      </c>
      <c r="I602" s="5">
        <v>45139</v>
      </c>
      <c r="J602" t="s">
        <v>23</v>
      </c>
      <c r="K602" t="s">
        <v>121</v>
      </c>
      <c r="L602" s="22">
        <v>4.0000000000000001E-3</v>
      </c>
      <c r="M602" s="8" t="s">
        <v>124</v>
      </c>
      <c r="N602" s="21" t="s">
        <v>127</v>
      </c>
      <c r="O602" s="8" t="s">
        <v>125</v>
      </c>
    </row>
    <row r="603" spans="1:15" ht="15" x14ac:dyDescent="0.25">
      <c r="A603" t="s">
        <v>140</v>
      </c>
      <c r="B603" s="8" t="s">
        <v>182</v>
      </c>
      <c r="C603">
        <v>901.13</v>
      </c>
      <c r="D603" s="8" t="s">
        <v>182</v>
      </c>
      <c r="E603" t="s">
        <v>113</v>
      </c>
      <c r="F603" t="s">
        <v>19</v>
      </c>
      <c r="G603" t="s">
        <v>177</v>
      </c>
      <c r="H603" s="8" t="s">
        <v>107</v>
      </c>
      <c r="I603" s="5">
        <v>45141</v>
      </c>
      <c r="J603" t="s">
        <v>23</v>
      </c>
      <c r="K603" t="s">
        <v>113</v>
      </c>
      <c r="L603" s="22">
        <v>4.0000000000000001E-3</v>
      </c>
      <c r="M603" s="8" t="s">
        <v>124</v>
      </c>
      <c r="N603" s="21" t="s">
        <v>127</v>
      </c>
      <c r="O603" s="8" t="s">
        <v>125</v>
      </c>
    </row>
    <row r="604" spans="1:15" ht="15" x14ac:dyDescent="0.25">
      <c r="A604" t="s">
        <v>139</v>
      </c>
      <c r="B604" s="8" t="s">
        <v>182</v>
      </c>
      <c r="C604">
        <v>901.13</v>
      </c>
      <c r="D604" s="8" t="s">
        <v>182</v>
      </c>
      <c r="E604" t="s">
        <v>121</v>
      </c>
      <c r="F604" t="s">
        <v>19</v>
      </c>
      <c r="G604" t="s">
        <v>161</v>
      </c>
      <c r="H604" s="8" t="s">
        <v>107</v>
      </c>
      <c r="I604" s="5">
        <v>45146</v>
      </c>
      <c r="J604" t="s">
        <v>23</v>
      </c>
      <c r="K604" t="s">
        <v>121</v>
      </c>
      <c r="L604" s="22">
        <v>3.1E-2</v>
      </c>
      <c r="M604" s="8" t="s">
        <v>124</v>
      </c>
      <c r="N604" s="21" t="s">
        <v>127</v>
      </c>
      <c r="O604" s="8" t="s">
        <v>125</v>
      </c>
    </row>
    <row r="605" spans="1:15" ht="15" x14ac:dyDescent="0.25">
      <c r="A605" t="s">
        <v>136</v>
      </c>
      <c r="B605" s="8" t="s">
        <v>182</v>
      </c>
      <c r="C605">
        <v>901.13</v>
      </c>
      <c r="D605" s="8" t="s">
        <v>182</v>
      </c>
      <c r="E605" t="s">
        <v>121</v>
      </c>
      <c r="F605" t="s">
        <v>19</v>
      </c>
      <c r="G605" t="s">
        <v>176</v>
      </c>
      <c r="H605" s="8" t="s">
        <v>107</v>
      </c>
      <c r="I605" s="5">
        <v>45146</v>
      </c>
      <c r="J605" t="s">
        <v>23</v>
      </c>
      <c r="K605" t="s">
        <v>121</v>
      </c>
      <c r="L605" s="22">
        <v>0.15506300000000001</v>
      </c>
      <c r="M605" s="8" t="s">
        <v>124</v>
      </c>
      <c r="N605" s="21" t="s">
        <v>127</v>
      </c>
      <c r="O605" s="8" t="s">
        <v>126</v>
      </c>
    </row>
    <row r="606" spans="1:15" ht="15" x14ac:dyDescent="0.25">
      <c r="A606" t="s">
        <v>139</v>
      </c>
      <c r="B606" s="8" t="s">
        <v>182</v>
      </c>
      <c r="C606">
        <v>901.13</v>
      </c>
      <c r="D606" s="8" t="s">
        <v>182</v>
      </c>
      <c r="E606" t="s">
        <v>121</v>
      </c>
      <c r="F606" t="s">
        <v>19</v>
      </c>
      <c r="G606" t="s">
        <v>181</v>
      </c>
      <c r="H606" s="8" t="s">
        <v>107</v>
      </c>
      <c r="I606" s="5">
        <v>45146</v>
      </c>
      <c r="J606" t="s">
        <v>23</v>
      </c>
      <c r="K606" t="s">
        <v>121</v>
      </c>
      <c r="L606" s="22">
        <v>4.0000000000000001E-3</v>
      </c>
      <c r="M606" s="8" t="s">
        <v>124</v>
      </c>
      <c r="N606" s="21" t="s">
        <v>127</v>
      </c>
      <c r="O606" s="8" t="s">
        <v>125</v>
      </c>
    </row>
    <row r="607" spans="1:15" ht="15" x14ac:dyDescent="0.25">
      <c r="A607" t="s">
        <v>138</v>
      </c>
      <c r="B607" s="8" t="s">
        <v>182</v>
      </c>
      <c r="C607">
        <v>901.13</v>
      </c>
      <c r="D607" s="8" t="s">
        <v>182</v>
      </c>
      <c r="E607" t="s">
        <v>122</v>
      </c>
      <c r="F607" t="s">
        <v>19</v>
      </c>
      <c r="G607" t="s">
        <v>146</v>
      </c>
      <c r="H607" s="8" t="s">
        <v>107</v>
      </c>
      <c r="I607" s="5">
        <v>45147</v>
      </c>
      <c r="J607" t="s">
        <v>23</v>
      </c>
      <c r="K607" t="s">
        <v>122</v>
      </c>
      <c r="L607" s="22">
        <v>0.105</v>
      </c>
      <c r="M607" s="8" t="s">
        <v>124</v>
      </c>
      <c r="N607" s="21" t="s">
        <v>127</v>
      </c>
      <c r="O607" s="8" t="s">
        <v>126</v>
      </c>
    </row>
    <row r="608" spans="1:15" ht="15" x14ac:dyDescent="0.25">
      <c r="A608" t="s">
        <v>138</v>
      </c>
      <c r="B608" s="8" t="s">
        <v>182</v>
      </c>
      <c r="C608">
        <v>901.13</v>
      </c>
      <c r="D608" s="8" t="s">
        <v>182</v>
      </c>
      <c r="E608" t="s">
        <v>58</v>
      </c>
      <c r="F608" t="s">
        <v>19</v>
      </c>
      <c r="G608" t="s">
        <v>147</v>
      </c>
      <c r="H608" s="8" t="s">
        <v>107</v>
      </c>
      <c r="I608" s="5">
        <v>45147</v>
      </c>
      <c r="J608" t="s">
        <v>114</v>
      </c>
      <c r="K608" t="s">
        <v>58</v>
      </c>
      <c r="L608" s="22" t="s">
        <v>58</v>
      </c>
      <c r="M608" s="8" t="s">
        <v>124</v>
      </c>
      <c r="N608" s="21" t="s">
        <v>127</v>
      </c>
    </row>
    <row r="609" spans="1:15" ht="15" x14ac:dyDescent="0.25">
      <c r="A609" t="s">
        <v>138</v>
      </c>
      <c r="B609" s="8" t="s">
        <v>182</v>
      </c>
      <c r="C609">
        <v>901.13</v>
      </c>
      <c r="D609" s="8" t="s">
        <v>182</v>
      </c>
      <c r="E609" t="s">
        <v>58</v>
      </c>
      <c r="F609" t="s">
        <v>19</v>
      </c>
      <c r="G609" t="s">
        <v>151</v>
      </c>
      <c r="H609" s="8" t="s">
        <v>107</v>
      </c>
      <c r="I609" s="5">
        <v>45147</v>
      </c>
      <c r="J609" t="s">
        <v>23</v>
      </c>
      <c r="K609" t="s">
        <v>58</v>
      </c>
      <c r="L609" s="22">
        <v>8.0000000000000002E-3</v>
      </c>
      <c r="M609" s="8" t="s">
        <v>124</v>
      </c>
      <c r="N609" s="21" t="s">
        <v>127</v>
      </c>
      <c r="O609" s="8" t="s">
        <v>125</v>
      </c>
    </row>
    <row r="610" spans="1:15" ht="15" x14ac:dyDescent="0.25">
      <c r="A610" t="s">
        <v>137</v>
      </c>
      <c r="B610" s="8" t="s">
        <v>182</v>
      </c>
      <c r="C610">
        <v>901.13</v>
      </c>
      <c r="D610" s="8" t="s">
        <v>182</v>
      </c>
      <c r="E610" t="s">
        <v>121</v>
      </c>
      <c r="F610" t="s">
        <v>19</v>
      </c>
      <c r="G610" t="s">
        <v>142</v>
      </c>
      <c r="H610" s="8" t="s">
        <v>107</v>
      </c>
      <c r="I610" s="5">
        <v>45155</v>
      </c>
      <c r="J610" t="s">
        <v>23</v>
      </c>
      <c r="K610" t="s">
        <v>121</v>
      </c>
      <c r="L610" s="22">
        <v>0.02</v>
      </c>
      <c r="M610" s="8" t="s">
        <v>124</v>
      </c>
      <c r="N610" s="21" t="s">
        <v>127</v>
      </c>
      <c r="O610" s="8" t="s">
        <v>125</v>
      </c>
    </row>
    <row r="611" spans="1:15" ht="15" x14ac:dyDescent="0.25">
      <c r="A611" t="s">
        <v>137</v>
      </c>
      <c r="B611" s="8" t="s">
        <v>182</v>
      </c>
      <c r="C611">
        <v>901.13</v>
      </c>
      <c r="D611" s="8" t="s">
        <v>182</v>
      </c>
      <c r="E611" t="s">
        <v>121</v>
      </c>
      <c r="F611" t="s">
        <v>19</v>
      </c>
      <c r="G611" t="s">
        <v>170</v>
      </c>
      <c r="H611" s="8" t="s">
        <v>107</v>
      </c>
      <c r="I611" s="5">
        <v>45155</v>
      </c>
      <c r="J611" t="s">
        <v>23</v>
      </c>
      <c r="K611" t="s">
        <v>121</v>
      </c>
      <c r="L611" s="22">
        <v>2E-3</v>
      </c>
      <c r="M611" s="8" t="s">
        <v>124</v>
      </c>
      <c r="N611" s="21" t="s">
        <v>127</v>
      </c>
      <c r="O611" s="8" t="s">
        <v>125</v>
      </c>
    </row>
    <row r="612" spans="1:15" ht="15" x14ac:dyDescent="0.25">
      <c r="A612" t="s">
        <v>139</v>
      </c>
      <c r="B612" s="8" t="s">
        <v>182</v>
      </c>
      <c r="C612">
        <v>901.13</v>
      </c>
      <c r="D612" s="8" t="s">
        <v>182</v>
      </c>
      <c r="E612"/>
      <c r="F612" t="s">
        <v>19</v>
      </c>
      <c r="G612" t="s">
        <v>150</v>
      </c>
      <c r="H612" s="8" t="s">
        <v>107</v>
      </c>
      <c r="I612" s="5">
        <v>45166</v>
      </c>
      <c r="J612" t="s">
        <v>23</v>
      </c>
      <c r="K612" t="s">
        <v>121</v>
      </c>
      <c r="L612" s="22" t="s">
        <v>58</v>
      </c>
      <c r="M612" s="8" t="s">
        <v>124</v>
      </c>
      <c r="N612" s="21" t="s">
        <v>127</v>
      </c>
    </row>
    <row r="613" spans="1:15" ht="15" x14ac:dyDescent="0.25">
      <c r="A613" t="s">
        <v>139</v>
      </c>
      <c r="B613" s="8" t="s">
        <v>182</v>
      </c>
      <c r="C613">
        <v>901.13</v>
      </c>
      <c r="D613" s="8" t="s">
        <v>182</v>
      </c>
      <c r="E613"/>
      <c r="F613" t="s">
        <v>19</v>
      </c>
      <c r="G613" t="s">
        <v>155</v>
      </c>
      <c r="H613" s="8" t="s">
        <v>107</v>
      </c>
      <c r="I613" s="5">
        <v>45166</v>
      </c>
      <c r="J613" t="s">
        <v>23</v>
      </c>
      <c r="K613" t="s">
        <v>122</v>
      </c>
      <c r="L613" s="22" t="s">
        <v>58</v>
      </c>
      <c r="M613" s="8" t="s">
        <v>124</v>
      </c>
      <c r="N613" s="21" t="s">
        <v>127</v>
      </c>
    </row>
    <row r="614" spans="1:15" ht="15" x14ac:dyDescent="0.25">
      <c r="A614" t="s">
        <v>138</v>
      </c>
      <c r="B614" s="8" t="s">
        <v>182</v>
      </c>
      <c r="C614">
        <v>901.13</v>
      </c>
      <c r="D614" s="8" t="s">
        <v>182</v>
      </c>
      <c r="E614" t="s">
        <v>121</v>
      </c>
      <c r="F614" t="s">
        <v>19</v>
      </c>
      <c r="G614" t="s">
        <v>163</v>
      </c>
      <c r="H614" s="8" t="s">
        <v>107</v>
      </c>
      <c r="I614" s="5">
        <v>45166</v>
      </c>
      <c r="J614" t="s">
        <v>23</v>
      </c>
      <c r="K614" t="s">
        <v>121</v>
      </c>
      <c r="L614" s="22" t="s">
        <v>58</v>
      </c>
      <c r="M614" s="8" t="s">
        <v>124</v>
      </c>
      <c r="N614" s="21" t="s">
        <v>127</v>
      </c>
    </row>
    <row r="615" spans="1:15" ht="15" x14ac:dyDescent="0.25">
      <c r="A615" t="s">
        <v>111</v>
      </c>
      <c r="B615" s="8" t="s">
        <v>182</v>
      </c>
      <c r="C615">
        <v>901.13</v>
      </c>
      <c r="D615" s="8" t="s">
        <v>182</v>
      </c>
      <c r="E615" t="s">
        <v>113</v>
      </c>
      <c r="F615" t="s">
        <v>19</v>
      </c>
      <c r="G615" t="s">
        <v>168</v>
      </c>
      <c r="H615" s="8" t="s">
        <v>107</v>
      </c>
      <c r="I615" s="5">
        <v>45166</v>
      </c>
      <c r="J615" t="s">
        <v>120</v>
      </c>
      <c r="K615" t="s">
        <v>113</v>
      </c>
      <c r="L615" s="22" t="s">
        <v>58</v>
      </c>
      <c r="M615" s="8" t="s">
        <v>124</v>
      </c>
      <c r="N615" s="21" t="s">
        <v>127</v>
      </c>
    </row>
    <row r="616" spans="1:15" ht="15" x14ac:dyDescent="0.25">
      <c r="A616" t="s">
        <v>111</v>
      </c>
      <c r="B616" s="8" t="s">
        <v>182</v>
      </c>
      <c r="C616">
        <v>901.13</v>
      </c>
      <c r="D616" s="8" t="s">
        <v>182</v>
      </c>
      <c r="E616" t="s">
        <v>58</v>
      </c>
      <c r="F616" t="s">
        <v>19</v>
      </c>
      <c r="G616" t="s">
        <v>169</v>
      </c>
      <c r="H616" s="8" t="s">
        <v>107</v>
      </c>
      <c r="I616" s="5">
        <v>45166</v>
      </c>
      <c r="J616" t="s">
        <v>119</v>
      </c>
      <c r="K616" t="s">
        <v>58</v>
      </c>
      <c r="L616" s="22" t="s">
        <v>58</v>
      </c>
      <c r="M616" s="8" t="s">
        <v>124</v>
      </c>
      <c r="N616" s="21" t="s">
        <v>127</v>
      </c>
    </row>
    <row r="617" spans="1:15" ht="15" x14ac:dyDescent="0.25">
      <c r="A617" t="s">
        <v>139</v>
      </c>
      <c r="B617" s="8" t="s">
        <v>182</v>
      </c>
      <c r="C617">
        <v>901.13</v>
      </c>
      <c r="D617" s="8" t="s">
        <v>182</v>
      </c>
      <c r="E617"/>
      <c r="F617" t="s">
        <v>19</v>
      </c>
      <c r="G617" t="s">
        <v>174</v>
      </c>
      <c r="H617" s="8" t="s">
        <v>107</v>
      </c>
      <c r="I617" s="5">
        <v>45166</v>
      </c>
      <c r="J617" t="s">
        <v>119</v>
      </c>
      <c r="K617" t="s">
        <v>58</v>
      </c>
      <c r="L617" s="22" t="s">
        <v>58</v>
      </c>
      <c r="M617" s="8" t="s">
        <v>124</v>
      </c>
      <c r="N617" s="21" t="s">
        <v>127</v>
      </c>
    </row>
    <row r="618" spans="1:15" ht="15" x14ac:dyDescent="0.25">
      <c r="A618" t="s">
        <v>136</v>
      </c>
      <c r="B618" s="8" t="s">
        <v>182</v>
      </c>
      <c r="C618">
        <v>901.13</v>
      </c>
      <c r="D618" s="8" t="s">
        <v>182</v>
      </c>
      <c r="E618" t="s">
        <v>113</v>
      </c>
      <c r="F618" t="s">
        <v>19</v>
      </c>
      <c r="G618" t="s">
        <v>148</v>
      </c>
      <c r="H618" s="8" t="s">
        <v>107</v>
      </c>
      <c r="I618" s="5">
        <v>45167</v>
      </c>
      <c r="J618" t="s">
        <v>114</v>
      </c>
      <c r="K618" t="s">
        <v>113</v>
      </c>
      <c r="L618" s="22" t="s">
        <v>58</v>
      </c>
      <c r="M618" s="8" t="s">
        <v>124</v>
      </c>
      <c r="N618" s="21" t="s">
        <v>127</v>
      </c>
    </row>
    <row r="619" spans="1:15" ht="15" x14ac:dyDescent="0.25">
      <c r="A619" t="s">
        <v>136</v>
      </c>
      <c r="B619" s="8" t="s">
        <v>182</v>
      </c>
      <c r="C619">
        <v>901.13</v>
      </c>
      <c r="D619" s="8" t="s">
        <v>182</v>
      </c>
      <c r="E619" t="s">
        <v>113</v>
      </c>
      <c r="F619" t="s">
        <v>19</v>
      </c>
      <c r="G619" t="s">
        <v>154</v>
      </c>
      <c r="H619" s="8" t="s">
        <v>107</v>
      </c>
      <c r="I619" s="5">
        <v>45167</v>
      </c>
      <c r="J619" t="s">
        <v>23</v>
      </c>
      <c r="K619" t="s">
        <v>113</v>
      </c>
      <c r="L619" s="22">
        <v>2.1600000000000001E-2</v>
      </c>
      <c r="M619" s="8" t="s">
        <v>124</v>
      </c>
      <c r="N619" s="21" t="s">
        <v>127</v>
      </c>
      <c r="O619" s="8" t="s">
        <v>126</v>
      </c>
    </row>
    <row r="620" spans="1:15" ht="15" x14ac:dyDescent="0.25">
      <c r="A620" t="s">
        <v>136</v>
      </c>
      <c r="B620" s="8" t="s">
        <v>182</v>
      </c>
      <c r="C620">
        <v>901.13</v>
      </c>
      <c r="D620" s="8" t="s">
        <v>182</v>
      </c>
      <c r="E620" t="s">
        <v>122</v>
      </c>
      <c r="F620" t="s">
        <v>19</v>
      </c>
      <c r="G620" t="s">
        <v>157</v>
      </c>
      <c r="H620" s="8" t="s">
        <v>107</v>
      </c>
      <c r="I620" s="5">
        <v>45167</v>
      </c>
      <c r="J620" t="s">
        <v>119</v>
      </c>
      <c r="K620" t="s">
        <v>122</v>
      </c>
      <c r="L620" s="22" t="s">
        <v>58</v>
      </c>
      <c r="M620" s="8" t="s">
        <v>124</v>
      </c>
      <c r="N620" s="21" t="s">
        <v>127</v>
      </c>
    </row>
    <row r="621" spans="1:15" ht="15" x14ac:dyDescent="0.25">
      <c r="A621" t="s">
        <v>136</v>
      </c>
      <c r="B621" s="8" t="s">
        <v>182</v>
      </c>
      <c r="C621">
        <v>901.13</v>
      </c>
      <c r="D621" s="8" t="s">
        <v>182</v>
      </c>
      <c r="E621" t="s">
        <v>121</v>
      </c>
      <c r="F621" t="s">
        <v>19</v>
      </c>
      <c r="G621" t="s">
        <v>158</v>
      </c>
      <c r="H621" s="8" t="s">
        <v>107</v>
      </c>
      <c r="I621" s="5">
        <v>45167</v>
      </c>
      <c r="J621" t="s">
        <v>119</v>
      </c>
      <c r="K621" t="s">
        <v>121</v>
      </c>
      <c r="L621" s="22" t="s">
        <v>58</v>
      </c>
      <c r="M621" s="8" t="s">
        <v>124</v>
      </c>
      <c r="N621" s="21" t="s">
        <v>127</v>
      </c>
    </row>
    <row r="622" spans="1:15" ht="15" x14ac:dyDescent="0.25">
      <c r="A622" t="s">
        <v>136</v>
      </c>
      <c r="B622" s="8" t="s">
        <v>182</v>
      </c>
      <c r="C622">
        <v>901.13</v>
      </c>
      <c r="D622" s="8" t="s">
        <v>182</v>
      </c>
      <c r="E622" t="s">
        <v>113</v>
      </c>
      <c r="F622" t="s">
        <v>19</v>
      </c>
      <c r="G622" t="s">
        <v>162</v>
      </c>
      <c r="H622" s="8" t="s">
        <v>107</v>
      </c>
      <c r="I622" s="5">
        <v>45167</v>
      </c>
      <c r="J622" t="s">
        <v>119</v>
      </c>
      <c r="K622" t="s">
        <v>113</v>
      </c>
      <c r="L622" s="22" t="s">
        <v>58</v>
      </c>
      <c r="M622" s="8" t="s">
        <v>124</v>
      </c>
      <c r="N622" s="21" t="s">
        <v>127</v>
      </c>
    </row>
    <row r="623" spans="1:15" ht="15" x14ac:dyDescent="0.25">
      <c r="A623" t="s">
        <v>136</v>
      </c>
      <c r="B623" s="8" t="s">
        <v>182</v>
      </c>
      <c r="C623">
        <v>901.13</v>
      </c>
      <c r="D623" s="8" t="s">
        <v>182</v>
      </c>
      <c r="E623" t="s">
        <v>121</v>
      </c>
      <c r="F623" t="s">
        <v>19</v>
      </c>
      <c r="G623" t="s">
        <v>172</v>
      </c>
      <c r="H623" s="8" t="s">
        <v>107</v>
      </c>
      <c r="I623" s="5">
        <v>45167</v>
      </c>
      <c r="J623" t="s">
        <v>119</v>
      </c>
      <c r="K623" t="s">
        <v>121</v>
      </c>
      <c r="L623" s="22" t="s">
        <v>58</v>
      </c>
      <c r="M623" s="8" t="s">
        <v>124</v>
      </c>
      <c r="N623" s="21" t="s">
        <v>127</v>
      </c>
    </row>
    <row r="624" spans="1:15" ht="15" x14ac:dyDescent="0.25">
      <c r="A624" t="s">
        <v>136</v>
      </c>
      <c r="B624" s="8" t="s">
        <v>182</v>
      </c>
      <c r="C624">
        <v>901.13</v>
      </c>
      <c r="D624" s="8" t="s">
        <v>182</v>
      </c>
      <c r="E624" t="s">
        <v>113</v>
      </c>
      <c r="F624" t="s">
        <v>19</v>
      </c>
      <c r="G624" t="s">
        <v>175</v>
      </c>
      <c r="H624" s="8" t="s">
        <v>107</v>
      </c>
      <c r="I624" s="5">
        <v>45167</v>
      </c>
      <c r="J624" t="s">
        <v>119</v>
      </c>
      <c r="K624" t="s">
        <v>113</v>
      </c>
      <c r="L624" s="22" t="s">
        <v>58</v>
      </c>
      <c r="M624" s="8" t="s">
        <v>124</v>
      </c>
      <c r="N624" s="21" t="s">
        <v>127</v>
      </c>
    </row>
    <row r="625" spans="1:15" ht="15" x14ac:dyDescent="0.25">
      <c r="A625" t="s">
        <v>136</v>
      </c>
      <c r="B625" s="8" t="s">
        <v>182</v>
      </c>
      <c r="C625">
        <v>901.13</v>
      </c>
      <c r="D625" s="8" t="s">
        <v>182</v>
      </c>
      <c r="E625" t="s">
        <v>122</v>
      </c>
      <c r="F625" t="s">
        <v>19</v>
      </c>
      <c r="G625" t="s">
        <v>180</v>
      </c>
      <c r="H625" s="8" t="s">
        <v>107</v>
      </c>
      <c r="I625" s="5">
        <v>45167</v>
      </c>
      <c r="J625" t="s">
        <v>119</v>
      </c>
      <c r="K625" t="s">
        <v>122</v>
      </c>
      <c r="L625" s="22" t="s">
        <v>58</v>
      </c>
      <c r="M625" s="8" t="s">
        <v>124</v>
      </c>
      <c r="N625" s="21" t="s">
        <v>127</v>
      </c>
    </row>
    <row r="626" spans="1:15" ht="15" x14ac:dyDescent="0.25">
      <c r="A626" t="s">
        <v>138</v>
      </c>
      <c r="B626" s="8" t="s">
        <v>182</v>
      </c>
      <c r="C626">
        <v>901.13</v>
      </c>
      <c r="D626" s="8" t="s">
        <v>182</v>
      </c>
      <c r="E626" t="s">
        <v>121</v>
      </c>
      <c r="F626" t="s">
        <v>19</v>
      </c>
      <c r="G626" t="s">
        <v>145</v>
      </c>
      <c r="H626" s="8" t="s">
        <v>107</v>
      </c>
      <c r="I626" s="5">
        <v>45175</v>
      </c>
      <c r="J626" t="s">
        <v>23</v>
      </c>
      <c r="K626" t="s">
        <v>121</v>
      </c>
      <c r="L626" s="22">
        <v>8.7591000000000002E-2</v>
      </c>
      <c r="M626" s="8" t="s">
        <v>124</v>
      </c>
      <c r="N626" s="21" t="s">
        <v>127</v>
      </c>
      <c r="O626" s="8" t="s">
        <v>126</v>
      </c>
    </row>
    <row r="627" spans="1:15" ht="15" x14ac:dyDescent="0.25">
      <c r="A627" t="s">
        <v>138</v>
      </c>
      <c r="B627" s="8" t="s">
        <v>182</v>
      </c>
      <c r="C627">
        <v>901.13</v>
      </c>
      <c r="D627" s="8" t="s">
        <v>182</v>
      </c>
      <c r="E627" t="s">
        <v>121</v>
      </c>
      <c r="F627" t="s">
        <v>19</v>
      </c>
      <c r="G627" t="s">
        <v>146</v>
      </c>
      <c r="H627" s="8" t="s">
        <v>107</v>
      </c>
      <c r="I627" s="5">
        <v>45175</v>
      </c>
      <c r="J627" t="s">
        <v>23</v>
      </c>
      <c r="K627" t="s">
        <v>121</v>
      </c>
      <c r="L627" s="22">
        <v>0.15319099999999999</v>
      </c>
      <c r="M627" s="8" t="s">
        <v>124</v>
      </c>
      <c r="N627" s="21" t="s">
        <v>127</v>
      </c>
      <c r="O627" s="8" t="s">
        <v>126</v>
      </c>
    </row>
    <row r="628" spans="1:15" ht="15" x14ac:dyDescent="0.25">
      <c r="A628" t="s">
        <v>138</v>
      </c>
      <c r="B628" s="8" t="s">
        <v>182</v>
      </c>
      <c r="C628">
        <v>901.13</v>
      </c>
      <c r="D628" s="8" t="s">
        <v>182</v>
      </c>
      <c r="E628" t="s">
        <v>121</v>
      </c>
      <c r="F628" t="s">
        <v>19</v>
      </c>
      <c r="G628" t="s">
        <v>165</v>
      </c>
      <c r="H628" s="8" t="s">
        <v>107</v>
      </c>
      <c r="I628" s="5">
        <v>45175</v>
      </c>
      <c r="J628" t="s">
        <v>23</v>
      </c>
      <c r="K628" t="s">
        <v>121</v>
      </c>
      <c r="L628" s="22">
        <v>1.9E-2</v>
      </c>
      <c r="M628" s="8" t="s">
        <v>124</v>
      </c>
      <c r="N628" s="21" t="s">
        <v>127</v>
      </c>
      <c r="O628" s="8" t="s">
        <v>125</v>
      </c>
    </row>
    <row r="629" spans="1:15" ht="15" x14ac:dyDescent="0.25">
      <c r="A629" t="s">
        <v>136</v>
      </c>
      <c r="B629" s="8" t="s">
        <v>182</v>
      </c>
      <c r="C629">
        <v>901.13</v>
      </c>
      <c r="D629" s="8" t="s">
        <v>182</v>
      </c>
      <c r="E629" t="s">
        <v>121</v>
      </c>
      <c r="F629" t="s">
        <v>19</v>
      </c>
      <c r="G629" t="s">
        <v>160</v>
      </c>
      <c r="H629" s="8" t="s">
        <v>107</v>
      </c>
      <c r="I629" s="5">
        <v>45189</v>
      </c>
      <c r="J629" t="s">
        <v>119</v>
      </c>
      <c r="K629" t="s">
        <v>121</v>
      </c>
      <c r="L629" s="22" t="s">
        <v>58</v>
      </c>
      <c r="M629" s="8" t="s">
        <v>124</v>
      </c>
      <c r="N629" s="21" t="s">
        <v>127</v>
      </c>
    </row>
    <row r="630" spans="1:15" ht="15" x14ac:dyDescent="0.25">
      <c r="A630" t="s">
        <v>136</v>
      </c>
      <c r="B630" s="8" t="s">
        <v>182</v>
      </c>
      <c r="C630">
        <v>901.13</v>
      </c>
      <c r="D630" s="8" t="s">
        <v>182</v>
      </c>
      <c r="E630" t="s">
        <v>112</v>
      </c>
      <c r="F630" t="s">
        <v>19</v>
      </c>
      <c r="G630" t="s">
        <v>143</v>
      </c>
      <c r="H630" s="8" t="s">
        <v>107</v>
      </c>
      <c r="I630" s="5">
        <v>45194</v>
      </c>
      <c r="J630" t="s">
        <v>119</v>
      </c>
      <c r="K630" t="s">
        <v>112</v>
      </c>
      <c r="L630" s="22" t="s">
        <v>58</v>
      </c>
      <c r="M630" s="8" t="s">
        <v>124</v>
      </c>
      <c r="N630" s="21" t="s">
        <v>127</v>
      </c>
    </row>
    <row r="631" spans="1:15" ht="15" x14ac:dyDescent="0.25">
      <c r="A631" t="s">
        <v>136</v>
      </c>
      <c r="B631" s="8" t="s">
        <v>182</v>
      </c>
      <c r="C631">
        <v>901.13</v>
      </c>
      <c r="D631" s="8" t="s">
        <v>182</v>
      </c>
      <c r="E631" t="s">
        <v>113</v>
      </c>
      <c r="F631" t="s">
        <v>19</v>
      </c>
      <c r="G631" t="s">
        <v>144</v>
      </c>
      <c r="H631" s="8" t="s">
        <v>107</v>
      </c>
      <c r="I631" s="5">
        <v>45194</v>
      </c>
      <c r="J631" t="s">
        <v>119</v>
      </c>
      <c r="K631" t="s">
        <v>113</v>
      </c>
      <c r="L631" s="22" t="s">
        <v>58</v>
      </c>
      <c r="M631" s="8" t="s">
        <v>124</v>
      </c>
      <c r="N631" s="21" t="s">
        <v>127</v>
      </c>
    </row>
    <row r="632" spans="1:15" ht="15" x14ac:dyDescent="0.25">
      <c r="A632" t="s">
        <v>136</v>
      </c>
      <c r="B632" s="8" t="s">
        <v>182</v>
      </c>
      <c r="C632">
        <v>901.13</v>
      </c>
      <c r="D632" s="8" t="s">
        <v>182</v>
      </c>
      <c r="E632" t="s">
        <v>112</v>
      </c>
      <c r="F632" t="s">
        <v>19</v>
      </c>
      <c r="G632" t="s">
        <v>159</v>
      </c>
      <c r="H632" s="8" t="s">
        <v>107</v>
      </c>
      <c r="I632" s="5">
        <v>45194</v>
      </c>
      <c r="J632" t="s">
        <v>23</v>
      </c>
      <c r="K632" t="s">
        <v>112</v>
      </c>
      <c r="L632" s="22">
        <v>2E-3</v>
      </c>
      <c r="M632" s="8" t="s">
        <v>124</v>
      </c>
      <c r="N632" s="21" t="s">
        <v>127</v>
      </c>
      <c r="O632" s="8" t="s">
        <v>125</v>
      </c>
    </row>
    <row r="633" spans="1:15" ht="15" x14ac:dyDescent="0.25">
      <c r="A633" t="s">
        <v>136</v>
      </c>
      <c r="B633" s="8" t="s">
        <v>182</v>
      </c>
      <c r="C633">
        <v>901.13</v>
      </c>
      <c r="D633" s="8" t="s">
        <v>182</v>
      </c>
      <c r="E633" t="s">
        <v>113</v>
      </c>
      <c r="F633" t="s">
        <v>19</v>
      </c>
      <c r="G633" t="s">
        <v>141</v>
      </c>
      <c r="H633" s="8" t="s">
        <v>107</v>
      </c>
      <c r="I633" s="5">
        <v>45195</v>
      </c>
      <c r="J633" t="s">
        <v>119</v>
      </c>
      <c r="K633" t="s">
        <v>113</v>
      </c>
      <c r="L633" s="22" t="s">
        <v>58</v>
      </c>
      <c r="M633" s="8" t="s">
        <v>124</v>
      </c>
      <c r="N633" s="21" t="s">
        <v>127</v>
      </c>
    </row>
    <row r="634" spans="1:15" ht="15" x14ac:dyDescent="0.25">
      <c r="A634" t="s">
        <v>136</v>
      </c>
      <c r="B634" s="8" t="s">
        <v>182</v>
      </c>
      <c r="C634">
        <v>901.13</v>
      </c>
      <c r="D634" s="8" t="s">
        <v>182</v>
      </c>
      <c r="E634" t="s">
        <v>113</v>
      </c>
      <c r="F634" t="s">
        <v>19</v>
      </c>
      <c r="G634" t="s">
        <v>152</v>
      </c>
      <c r="H634" s="8" t="s">
        <v>107</v>
      </c>
      <c r="I634" s="5">
        <v>45195</v>
      </c>
      <c r="J634" t="s">
        <v>119</v>
      </c>
      <c r="K634" t="s">
        <v>113</v>
      </c>
      <c r="L634" s="22" t="s">
        <v>58</v>
      </c>
      <c r="M634" s="8" t="s">
        <v>124</v>
      </c>
      <c r="N634" s="21" t="s">
        <v>127</v>
      </c>
    </row>
    <row r="635" spans="1:15" ht="15" x14ac:dyDescent="0.25">
      <c r="A635" t="s">
        <v>136</v>
      </c>
      <c r="B635" s="8" t="s">
        <v>182</v>
      </c>
      <c r="C635">
        <v>901.13</v>
      </c>
      <c r="D635" s="8" t="s">
        <v>182</v>
      </c>
      <c r="E635" t="s">
        <v>121</v>
      </c>
      <c r="F635" t="s">
        <v>19</v>
      </c>
      <c r="G635" t="s">
        <v>153</v>
      </c>
      <c r="H635" s="8" t="s">
        <v>107</v>
      </c>
      <c r="I635" s="5">
        <v>45195</v>
      </c>
      <c r="J635" t="s">
        <v>23</v>
      </c>
      <c r="K635" t="s">
        <v>121</v>
      </c>
      <c r="L635" s="22">
        <v>2E-3</v>
      </c>
      <c r="M635" s="8" t="s">
        <v>124</v>
      </c>
      <c r="N635" s="21" t="s">
        <v>127</v>
      </c>
      <c r="O635" s="8" t="s">
        <v>125</v>
      </c>
    </row>
    <row r="636" spans="1:15" ht="15" x14ac:dyDescent="0.25">
      <c r="A636" t="s">
        <v>138</v>
      </c>
      <c r="B636" s="8" t="s">
        <v>182</v>
      </c>
      <c r="C636">
        <v>901.13</v>
      </c>
      <c r="D636" s="8" t="s">
        <v>182</v>
      </c>
      <c r="E636" t="s">
        <v>121</v>
      </c>
      <c r="F636" t="s">
        <v>19</v>
      </c>
      <c r="G636" t="s">
        <v>167</v>
      </c>
      <c r="H636" s="8" t="s">
        <v>107</v>
      </c>
      <c r="I636" s="5">
        <v>45195</v>
      </c>
      <c r="J636" t="s">
        <v>23</v>
      </c>
      <c r="K636" t="s">
        <v>121</v>
      </c>
      <c r="L636" s="22">
        <v>0</v>
      </c>
      <c r="M636" s="8" t="s">
        <v>124</v>
      </c>
      <c r="N636" s="21" t="s">
        <v>127</v>
      </c>
      <c r="O636" s="8" t="s">
        <v>125</v>
      </c>
    </row>
    <row r="637" spans="1:15" ht="15" x14ac:dyDescent="0.25">
      <c r="A637" t="s">
        <v>136</v>
      </c>
      <c r="B637" s="8" t="s">
        <v>182</v>
      </c>
      <c r="C637">
        <v>901.13</v>
      </c>
      <c r="D637" s="8" t="s">
        <v>182</v>
      </c>
      <c r="E637" t="s">
        <v>58</v>
      </c>
      <c r="F637" t="s">
        <v>19</v>
      </c>
      <c r="G637" t="s">
        <v>178</v>
      </c>
      <c r="H637" s="8" t="s">
        <v>107</v>
      </c>
      <c r="I637" s="5">
        <v>45195</v>
      </c>
      <c r="J637" t="s">
        <v>114</v>
      </c>
      <c r="K637" t="s">
        <v>58</v>
      </c>
      <c r="L637" s="22" t="s">
        <v>58</v>
      </c>
      <c r="M637" s="8" t="s">
        <v>124</v>
      </c>
      <c r="N637" s="21" t="s">
        <v>127</v>
      </c>
    </row>
    <row r="638" spans="1:15" ht="15" x14ac:dyDescent="0.25">
      <c r="A638" t="s">
        <v>138</v>
      </c>
      <c r="B638" s="8" t="s">
        <v>182</v>
      </c>
      <c r="C638">
        <v>901.13</v>
      </c>
      <c r="D638" s="8" t="s">
        <v>182</v>
      </c>
      <c r="E638" t="s">
        <v>122</v>
      </c>
      <c r="F638" t="s">
        <v>19</v>
      </c>
      <c r="G638" t="s">
        <v>145</v>
      </c>
      <c r="H638" s="8" t="s">
        <v>107</v>
      </c>
      <c r="I638" s="5">
        <v>45196</v>
      </c>
      <c r="J638" t="s">
        <v>23</v>
      </c>
      <c r="K638" t="s">
        <v>122</v>
      </c>
      <c r="L638" s="22" t="s">
        <v>58</v>
      </c>
      <c r="M638" s="8" t="s">
        <v>124</v>
      </c>
      <c r="N638" s="21" t="s">
        <v>127</v>
      </c>
    </row>
    <row r="639" spans="1:15" ht="15" x14ac:dyDescent="0.25">
      <c r="A639" t="s">
        <v>138</v>
      </c>
      <c r="B639" s="8" t="s">
        <v>182</v>
      </c>
      <c r="C639">
        <v>901.13</v>
      </c>
      <c r="D639" s="8" t="s">
        <v>182</v>
      </c>
      <c r="E639" t="s">
        <v>121</v>
      </c>
      <c r="F639" t="s">
        <v>19</v>
      </c>
      <c r="G639" t="s">
        <v>156</v>
      </c>
      <c r="H639" s="8" t="s">
        <v>107</v>
      </c>
      <c r="I639" s="5">
        <v>45196</v>
      </c>
      <c r="J639" t="s">
        <v>23</v>
      </c>
      <c r="K639" t="s">
        <v>121</v>
      </c>
      <c r="L639" s="22">
        <v>3.1E-2</v>
      </c>
      <c r="M639" s="8" t="s">
        <v>124</v>
      </c>
      <c r="N639" s="21" t="s">
        <v>127</v>
      </c>
      <c r="O639" s="8" t="s">
        <v>125</v>
      </c>
    </row>
    <row r="640" spans="1:15" ht="15" x14ac:dyDescent="0.25">
      <c r="A640" t="s">
        <v>138</v>
      </c>
      <c r="B640" s="8" t="s">
        <v>182</v>
      </c>
      <c r="C640">
        <v>901.13</v>
      </c>
      <c r="D640" s="8" t="s">
        <v>182</v>
      </c>
      <c r="E640" t="s">
        <v>121</v>
      </c>
      <c r="F640" t="s">
        <v>19</v>
      </c>
      <c r="G640" t="s">
        <v>171</v>
      </c>
      <c r="H640" s="8" t="s">
        <v>107</v>
      </c>
      <c r="I640" s="5">
        <v>45196</v>
      </c>
      <c r="J640" t="s">
        <v>23</v>
      </c>
      <c r="K640" t="s">
        <v>121</v>
      </c>
      <c r="L640" s="22">
        <v>0.09</v>
      </c>
      <c r="M640" s="8" t="s">
        <v>124</v>
      </c>
      <c r="N640" s="21" t="s">
        <v>127</v>
      </c>
      <c r="O640" s="8" t="s">
        <v>126</v>
      </c>
    </row>
    <row r="641" spans="1:15" ht="15" x14ac:dyDescent="0.25">
      <c r="A641" t="s">
        <v>138</v>
      </c>
      <c r="B641" s="8" t="s">
        <v>182</v>
      </c>
      <c r="C641">
        <v>901.13</v>
      </c>
      <c r="D641" s="8" t="s">
        <v>182</v>
      </c>
      <c r="E641" t="s">
        <v>121</v>
      </c>
      <c r="F641" t="s">
        <v>19</v>
      </c>
      <c r="G641" t="s">
        <v>173</v>
      </c>
      <c r="H641" s="8" t="s">
        <v>107</v>
      </c>
      <c r="I641" s="5">
        <v>45196</v>
      </c>
      <c r="J641" t="s">
        <v>23</v>
      </c>
      <c r="K641" t="s">
        <v>121</v>
      </c>
      <c r="L641" s="22">
        <v>4.6667E-2</v>
      </c>
      <c r="M641" s="8" t="s">
        <v>124</v>
      </c>
      <c r="N641" s="21" t="s">
        <v>127</v>
      </c>
      <c r="O641" s="8" t="s">
        <v>126</v>
      </c>
    </row>
    <row r="642" spans="1:15" ht="15" x14ac:dyDescent="0.25">
      <c r="A642" t="s">
        <v>138</v>
      </c>
      <c r="B642" s="8" t="s">
        <v>182</v>
      </c>
      <c r="C642">
        <v>902.13</v>
      </c>
      <c r="D642" s="8" t="s">
        <v>182</v>
      </c>
      <c r="E642" t="s">
        <v>112</v>
      </c>
      <c r="F642" t="s">
        <v>19</v>
      </c>
      <c r="G642" t="s">
        <v>255</v>
      </c>
      <c r="H642" s="8" t="s">
        <v>107</v>
      </c>
      <c r="I642" s="5">
        <v>45146</v>
      </c>
      <c r="J642" t="s">
        <v>23</v>
      </c>
      <c r="K642" t="s">
        <v>112</v>
      </c>
      <c r="L642" s="23">
        <v>0.187</v>
      </c>
      <c r="M642" s="8" t="s">
        <v>124</v>
      </c>
      <c r="N642" s="21" t="s">
        <v>127</v>
      </c>
      <c r="O642" s="8" t="s">
        <v>125</v>
      </c>
    </row>
    <row r="643" spans="1:15" ht="15" x14ac:dyDescent="0.25">
      <c r="A643" t="s">
        <v>138</v>
      </c>
      <c r="B643" s="8" t="s">
        <v>182</v>
      </c>
      <c r="C643">
        <v>903.13</v>
      </c>
      <c r="D643" s="8" t="s">
        <v>182</v>
      </c>
      <c r="E643" t="s">
        <v>112</v>
      </c>
      <c r="F643" t="s">
        <v>19</v>
      </c>
      <c r="G643" t="s">
        <v>255</v>
      </c>
      <c r="H643" s="8" t="s">
        <v>107</v>
      </c>
      <c r="I643" s="5">
        <v>45069</v>
      </c>
      <c r="J643" t="s">
        <v>23</v>
      </c>
      <c r="K643" t="s">
        <v>112</v>
      </c>
      <c r="L643" s="23">
        <v>0.38</v>
      </c>
      <c r="M643" s="8" t="s">
        <v>124</v>
      </c>
      <c r="N643" s="21" t="s">
        <v>127</v>
      </c>
      <c r="O643" s="8" t="s">
        <v>126</v>
      </c>
    </row>
    <row r="644" spans="1:15" ht="15" x14ac:dyDescent="0.25">
      <c r="A644" t="s">
        <v>138</v>
      </c>
      <c r="B644" s="8" t="s">
        <v>182</v>
      </c>
      <c r="C644">
        <v>904.13</v>
      </c>
      <c r="D644" s="8" t="s">
        <v>182</v>
      </c>
      <c r="E644" t="s">
        <v>112</v>
      </c>
      <c r="F644" t="s">
        <v>19</v>
      </c>
      <c r="G644" t="s">
        <v>255</v>
      </c>
      <c r="H644" s="8" t="s">
        <v>107</v>
      </c>
      <c r="I644" s="5">
        <v>45043</v>
      </c>
      <c r="J644" t="s">
        <v>23</v>
      </c>
      <c r="K644" t="s">
        <v>112</v>
      </c>
      <c r="L644" s="23">
        <v>0.14099999999999999</v>
      </c>
      <c r="M644" s="8" t="s">
        <v>124</v>
      </c>
      <c r="N644" s="21" t="s">
        <v>127</v>
      </c>
      <c r="O644" s="8" t="s">
        <v>125</v>
      </c>
    </row>
    <row r="645" spans="1:15" ht="15" x14ac:dyDescent="0.25">
      <c r="A645" t="s">
        <v>138</v>
      </c>
      <c r="B645" s="8" t="s">
        <v>182</v>
      </c>
      <c r="C645">
        <v>905.13</v>
      </c>
      <c r="D645" s="8" t="s">
        <v>182</v>
      </c>
      <c r="E645" t="s">
        <v>112</v>
      </c>
      <c r="F645" t="s">
        <v>19</v>
      </c>
      <c r="G645" t="s">
        <v>255</v>
      </c>
      <c r="H645" s="8" t="s">
        <v>115</v>
      </c>
      <c r="I645" s="5">
        <v>44791</v>
      </c>
      <c r="J645" t="s">
        <v>23</v>
      </c>
      <c r="K645" t="s">
        <v>112</v>
      </c>
      <c r="L645" s="23">
        <v>0.03</v>
      </c>
      <c r="M645" s="8" t="s">
        <v>124</v>
      </c>
      <c r="N645" s="21" t="s">
        <v>127</v>
      </c>
      <c r="O645" s="8" t="s">
        <v>125</v>
      </c>
    </row>
    <row r="646" spans="1:15" ht="15" x14ac:dyDescent="0.25">
      <c r="A646" t="s">
        <v>138</v>
      </c>
      <c r="B646" s="8" t="s">
        <v>182</v>
      </c>
      <c r="C646">
        <v>906.13</v>
      </c>
      <c r="D646" s="8" t="s">
        <v>182</v>
      </c>
      <c r="E646" t="s">
        <v>112</v>
      </c>
      <c r="F646" t="s">
        <v>19</v>
      </c>
      <c r="G646" t="s">
        <v>255</v>
      </c>
      <c r="H646" s="8" t="s">
        <v>115</v>
      </c>
      <c r="I646" s="5">
        <v>44750</v>
      </c>
      <c r="J646" t="s">
        <v>23</v>
      </c>
      <c r="K646" t="s">
        <v>112</v>
      </c>
      <c r="L646" s="23">
        <v>6.0000000000000001E-3</v>
      </c>
      <c r="M646" s="8" t="s">
        <v>124</v>
      </c>
      <c r="N646" s="21" t="s">
        <v>127</v>
      </c>
      <c r="O646" s="8" t="s">
        <v>125</v>
      </c>
    </row>
    <row r="647" spans="1:15" ht="15" x14ac:dyDescent="0.25">
      <c r="A647" t="s">
        <v>138</v>
      </c>
      <c r="B647" s="8" t="s">
        <v>182</v>
      </c>
      <c r="C647">
        <v>907.13</v>
      </c>
      <c r="D647" s="8" t="s">
        <v>182</v>
      </c>
      <c r="E647" t="s">
        <v>112</v>
      </c>
      <c r="F647" t="s">
        <v>19</v>
      </c>
      <c r="G647" t="s">
        <v>255</v>
      </c>
      <c r="H647" s="8" t="s">
        <v>115</v>
      </c>
      <c r="I647" s="5">
        <v>44727</v>
      </c>
      <c r="J647" t="s">
        <v>23</v>
      </c>
      <c r="K647" t="s">
        <v>112</v>
      </c>
      <c r="L647" s="23">
        <v>4.9000000000000002E-2</v>
      </c>
      <c r="M647" s="8" t="s">
        <v>124</v>
      </c>
      <c r="N647" s="21" t="s">
        <v>127</v>
      </c>
      <c r="O647" s="8" t="s">
        <v>125</v>
      </c>
    </row>
    <row r="648" spans="1:15" ht="15" x14ac:dyDescent="0.25">
      <c r="A648" t="s">
        <v>138</v>
      </c>
      <c r="B648" s="8" t="s">
        <v>182</v>
      </c>
      <c r="C648">
        <v>908.13</v>
      </c>
      <c r="D648" s="8" t="s">
        <v>182</v>
      </c>
      <c r="E648" t="s">
        <v>112</v>
      </c>
      <c r="F648" t="s">
        <v>19</v>
      </c>
      <c r="G648" t="s">
        <v>255</v>
      </c>
      <c r="H648" s="8" t="s">
        <v>116</v>
      </c>
      <c r="I648" s="5">
        <v>44452</v>
      </c>
      <c r="J648" t="s">
        <v>23</v>
      </c>
      <c r="K648" t="s">
        <v>112</v>
      </c>
      <c r="L648" s="23">
        <v>0.08</v>
      </c>
      <c r="M648" s="8" t="s">
        <v>124</v>
      </c>
      <c r="N648" s="21" t="s">
        <v>127</v>
      </c>
      <c r="O648" s="8" t="s">
        <v>126</v>
      </c>
    </row>
    <row r="649" spans="1:15" ht="15" x14ac:dyDescent="0.25">
      <c r="A649" t="s">
        <v>138</v>
      </c>
      <c r="B649" s="8" t="s">
        <v>182</v>
      </c>
      <c r="C649">
        <v>908.13</v>
      </c>
      <c r="D649" s="8" t="s">
        <v>182</v>
      </c>
      <c r="E649" t="s">
        <v>112</v>
      </c>
      <c r="F649" t="s">
        <v>19</v>
      </c>
      <c r="G649" t="s">
        <v>255</v>
      </c>
      <c r="H649" s="8" t="s">
        <v>116</v>
      </c>
      <c r="I649" s="5">
        <v>44343</v>
      </c>
      <c r="J649" t="s">
        <v>23</v>
      </c>
      <c r="K649" t="s">
        <v>112</v>
      </c>
      <c r="L649" s="23">
        <v>0.31</v>
      </c>
      <c r="M649" s="8" t="s">
        <v>124</v>
      </c>
      <c r="N649" s="21" t="s">
        <v>127</v>
      </c>
      <c r="O649" s="8" t="s">
        <v>126</v>
      </c>
    </row>
  </sheetData>
  <autoFilter ref="A1:O641" xr:uid="{5480AF9F-C74F-4384-ABD9-9EF1FCA9AC11}"/>
  <sortState xmlns:xlrd2="http://schemas.microsoft.com/office/spreadsheetml/2017/richdata2" ref="A2:O641">
    <sortCondition descending="1" ref="B2:B641"/>
  </sortState>
  <phoneticPr fontId="7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4674-C2B4-4EE7-B3DA-FA638964E17C}">
  <sheetPr>
    <tabColor theme="7" tint="0.79998168889431442"/>
  </sheetPr>
  <dimension ref="A1:W47"/>
  <sheetViews>
    <sheetView topLeftCell="D1" zoomScale="85" zoomScaleNormal="85" workbookViewId="0">
      <selection activeCell="P27" sqref="P27"/>
    </sheetView>
  </sheetViews>
  <sheetFormatPr defaultRowHeight="15" x14ac:dyDescent="0.25"/>
  <cols>
    <col min="1" max="1" width="18.85546875" bestFit="1" customWidth="1"/>
    <col min="2" max="2" width="16.7109375" bestFit="1" customWidth="1"/>
    <col min="3" max="3" width="17.140625" bestFit="1" customWidth="1"/>
    <col min="4" max="4" width="17.85546875" bestFit="1" customWidth="1"/>
    <col min="5" max="9" width="21.42578125" bestFit="1" customWidth="1"/>
    <col min="10" max="10" width="11.28515625" bestFit="1" customWidth="1"/>
    <col min="11" max="11" width="10.7109375" customWidth="1"/>
    <col min="12" max="14" width="15.85546875" customWidth="1"/>
    <col min="15" max="15" width="14.7109375" customWidth="1"/>
    <col min="16" max="19" width="9.42578125" customWidth="1"/>
    <col min="20" max="20" width="12.5703125" customWidth="1"/>
    <col min="21" max="21" width="14" customWidth="1"/>
    <col min="22" max="22" width="15.85546875" customWidth="1"/>
    <col min="23" max="23" width="11.28515625" customWidth="1"/>
  </cols>
  <sheetData>
    <row r="1" spans="1:23" x14ac:dyDescent="0.25">
      <c r="A1" t="s">
        <v>36</v>
      </c>
      <c r="M1" t="s">
        <v>37</v>
      </c>
    </row>
    <row r="2" spans="1:23" ht="48" x14ac:dyDescent="0.25">
      <c r="A2" s="11" t="s">
        <v>33</v>
      </c>
      <c r="E2" s="11" t="s">
        <v>6</v>
      </c>
      <c r="M2" s="12" t="s">
        <v>32</v>
      </c>
      <c r="N2" s="12" t="s">
        <v>48</v>
      </c>
      <c r="O2" s="12" t="s">
        <v>49</v>
      </c>
      <c r="P2" s="12" t="s">
        <v>11</v>
      </c>
      <c r="Q2" s="12" t="s">
        <v>23</v>
      </c>
      <c r="R2" s="13" t="s">
        <v>22</v>
      </c>
      <c r="S2" s="12" t="s">
        <v>24</v>
      </c>
      <c r="T2" s="12" t="s">
        <v>38</v>
      </c>
      <c r="U2" s="13" t="s">
        <v>54</v>
      </c>
      <c r="V2" s="13" t="s">
        <v>52</v>
      </c>
      <c r="W2" s="13" t="s">
        <v>53</v>
      </c>
    </row>
    <row r="3" spans="1:23" x14ac:dyDescent="0.25">
      <c r="A3" s="11" t="s">
        <v>32</v>
      </c>
      <c r="B3" s="11" t="s">
        <v>0</v>
      </c>
      <c r="C3" s="11" t="s">
        <v>49</v>
      </c>
      <c r="D3" s="11" t="s">
        <v>11</v>
      </c>
      <c r="E3" t="s">
        <v>23</v>
      </c>
      <c r="F3" t="s">
        <v>114</v>
      </c>
      <c r="G3" t="s">
        <v>119</v>
      </c>
      <c r="H3" t="s">
        <v>120</v>
      </c>
      <c r="I3" t="s">
        <v>58</v>
      </c>
      <c r="J3" t="s">
        <v>28</v>
      </c>
      <c r="M3" s="71" t="s">
        <v>182</v>
      </c>
      <c r="N3" s="14" t="s">
        <v>256</v>
      </c>
      <c r="O3" s="14"/>
      <c r="P3" s="14" t="s">
        <v>20</v>
      </c>
      <c r="Q3">
        <f>SUM(GETPIVOTDATA("Flow Status",$A$2,"Copermittee","ORANGE CO","TMDL Segment","Aliso Creek","Monitoring Year","2020-21","Flow Status","Flowing","Data Source","https://data-ocpw.opendata.arcgis.com/datasets/outfall-locations-and-observations-combined/explore"), GETPIVOTDATA("Flow Status",$A$2,"Copermittee","MISSION VIEJO","TMDL Segment","Aliso Creek","Monitoring Year","2020-21","Flow Status","Flowing","Data Source","https://data-ocpw.opendata.arcgis.com/datasets/outfall-locations-and-observations-combined/explore"), GETPIVOTDATA("Flow Status",$A$2,"Copermittee","LAKE FOREST","TMDL Segment","Aliso Creek","Monitoring Year","2020-21","Flow Status","Flowing","Data Source","https://data-ocpw.opendata.arcgis.com/datasets/outfall-locations-and-observations-combined/explore"), GETPIVOTDATA("Flow Status",$A$2,"Copermittee","ALISO VIEJO","TMDL Segment","Aliso Creek","Monitoring Year","2020-21","Flow Status","Flowing","Data Source","https://data-ocpw.opendata.arcgis.com/datasets/outfall-locations-and-observations-combined/explore"), GETPIVOTDATA("Flow Status",$A$2,"Copermittee","LAGUNA NIGUEL","TMDL Segment","Aliso Creek","Monitoring Year","2020-21","Flow Status","Flowing","Data Source","https://data-ocpw.opendata.arcgis.com/datasets/outfall-locations-and-observations-combined/explore"), GETPIVOTDATA("Flow Status",$A$2,"Copermittee","LAGUNA WOODS","TMDL Segment","Aliso Creek","Monitoring Year","2020-21","Flow Status","Flowing","Data Source","https://data-ocpw.opendata.arcgis.com/datasets/outfall-locations-and-observations-combined/explore"))</f>
        <v>56</v>
      </c>
      <c r="R3" s="14">
        <f>SUM(GETPIVOTDATA("Flow Status",$A$2,"Copermittee","ORANGE CO","TMDL Segment","Aliso Creek","Monitoring Year","2020-21","Flow Status","Dry","Data Source","https://data-ocpw.opendata.arcgis.com/datasets/outfall-locations-and-observations-combined/explore"),GETPIVOTDATA("Flow Status",$A$2,"Copermittee","MISSION VIEJO","TMDL Segment","Aliso Creek","Monitoring Year","2020-21","Flow Status","Dry","Data Source","https://data-ocpw.opendata.arcgis.com/datasets/outfall-locations-and-observations-combined/explore"),GETPIVOTDATA("Flow Status",$A$2,"Copermittee","LAKE FOREST","TMDL Segment","Aliso Creek","Monitoring Year","2020-21","Flow Status","Dry","Data Source","https://data-ocpw.opendata.arcgis.com/datasets/outfall-locations-and-observations-combined/explore"),GETPIVOTDATA("Flow Status",$A$2,"Copermittee","ALISO VIEJO","TMDL Segment","Aliso Creek","Monitoring Year","2020-21","Flow Status","Dry","Data Source","https://data-ocpw.opendata.arcgis.com/datasets/outfall-locations-and-observations-combined/explore"),GETPIVOTDATA("Flow Status",$A$2,"Copermittee","LAGUNA NIGUEL","TMDL Segment","Aliso Creek","Monitoring Year","2020-21","Flow Status","Dry","Data Source","https://data-ocpw.opendata.arcgis.com/datasets/outfall-locations-and-observations-combined/explore"),GETPIVOTDATA("Flow Status",$A$2,"Copermittee","LAGUNA WOODS","TMDL Segment","Aliso Creek","Monitoring Year","2020-21","Flow Status","Dry","Data Source","https://data-ocpw.opendata.arcgis.com/datasets/outfall-locations-and-observations-combined/explore"))</f>
        <v>9</v>
      </c>
      <c r="S3" s="14">
        <f>SUM(GETPIVOTDATA("Flow Status",$A$2,"Copermittee","ORANGE CO","TMDL Segment","Aliso Creek","Monitoring Year","2020-21","Flow Status","Pooled or Ponded","Data Source","https://data-ocpw.opendata.arcgis.com/datasets/outfall-locations-and-observations-combined/explore"),GETPIVOTDATA("Flow Status",$A$2,"Copermittee","MISSION VIEJO","TMDL Segment","Aliso Creek","Monitoring Year","2020-21","Flow Status","Pooled or Ponded","Data Source","https://data-ocpw.opendata.arcgis.com/datasets/outfall-locations-and-observations-combined/explore"),GETPIVOTDATA("Flow Status",$A$2,"Copermittee","LAKE FOREST","TMDL Segment","Aliso Creek","Monitoring Year","2020-21","Flow Status","Pooled or Ponded","Data Source","https://data-ocpw.opendata.arcgis.com/datasets/outfall-locations-and-observations-combined/explore"),GETPIVOTDATA("Flow Status",$A$2,"Copermittee","ALISO VIEJO","TMDL Segment","Aliso Creek","Monitoring Year","2020-21","Flow Status","Pooled or Ponded","Data Source","https://data-ocpw.opendata.arcgis.com/datasets/outfall-locations-and-observations-combined/explore"),GETPIVOTDATA("Flow Status",$A$2,"Copermittee","LAGUNA NIGUEL","TMDL Segment","Aliso Creek","Monitoring Year","2020-21","Flow Status","Pooled or Ponded","Data Source","https://data-ocpw.opendata.arcgis.com/datasets/outfall-locations-and-observations-combined/explore"),GETPIVOTDATA("Flow Status",$A$2,"Copermittee","LAGUNA WOODS","TMDL Segment","Aliso Creek","Monitoring Year","2020-21","Flow Status","Pooled or Ponded","Data Source","https://data-ocpw.opendata.arcgis.com/datasets/outfall-locations-and-observations-combined/explore"))</f>
        <v>15</v>
      </c>
      <c r="T3" s="14"/>
      <c r="U3" s="14">
        <f t="shared" ref="U3:U8" si="0">SUM(Q3:T3)</f>
        <v>80</v>
      </c>
      <c r="V3" s="48">
        <f>SUM(Q3,S3,T3)/U3</f>
        <v>0.88749999999999996</v>
      </c>
      <c r="W3" s="49">
        <f>MAX(V3:V5)</f>
        <v>0.88749999999999996</v>
      </c>
    </row>
    <row r="4" spans="1:23" x14ac:dyDescent="0.25">
      <c r="A4" t="s">
        <v>50</v>
      </c>
      <c r="B4" t="s">
        <v>111</v>
      </c>
      <c r="C4" t="s">
        <v>127</v>
      </c>
      <c r="D4" t="s">
        <v>116</v>
      </c>
      <c r="E4" s="20">
        <v>11</v>
      </c>
      <c r="F4" s="20">
        <v>5</v>
      </c>
      <c r="G4" s="20">
        <v>2</v>
      </c>
      <c r="H4" s="20"/>
      <c r="I4" s="20"/>
      <c r="J4" s="20">
        <v>18</v>
      </c>
      <c r="K4" s="20"/>
      <c r="M4" s="71"/>
      <c r="N4" s="14"/>
      <c r="O4" s="14"/>
      <c r="P4" s="14" t="s">
        <v>29</v>
      </c>
      <c r="Q4" s="14">
        <f>SUM(GETPIVOTDATA("Flow Status",$A$2,"Copermittee","ORANGE CO","TMDL Segment","Aliso Creek","Monitoring Year","2021-22","Flow Status","Flowing","Data Source","https://data-ocpw.opendata.arcgis.com/datasets/outfall-locations-and-observations-combined/explore"), GETPIVOTDATA("Flow Status",$A$2,"Copermittee","MISSION VIEJO","TMDL Segment","Aliso Creek","Monitoring Year","2021-22","Flow Status","Flowing","Data Source","https://data-ocpw.opendata.arcgis.com/datasets/outfall-locations-and-observations-combined/explore"), GETPIVOTDATA("Flow Status",$A$2,"Copermittee","LAKE FOREST","TMDL Segment","Aliso Creek","Monitoring Year","2021-22","Flow Status","Flowing","Data Source","https://data-ocpw.opendata.arcgis.com/datasets/outfall-locations-and-observations-combined/explore"), GETPIVOTDATA("Flow Status",$A$2,"Copermittee","ALISO VIEJO","TMDL Segment","Aliso Creek","Monitoring Year","2021-22","Flow Status","Flowing","Data Source","https://data-ocpw.opendata.arcgis.com/datasets/outfall-locations-and-observations-combined/explore"), GETPIVOTDATA("Flow Status",$A$2,"Copermittee","LAGUNA NIGUEL","TMDL Segment","Aliso Creek","Monitoring Year","2021-22","Flow Status","Flowing","Data Source","https://data-ocpw.opendata.arcgis.com/datasets/outfall-locations-and-observations-combined/explore"), GETPIVOTDATA("Flow Status",$A$2,"Copermittee","LAGUNA WOODS","TMDL Segment","Aliso Creek","Monitoring Year","2021-22","Flow Status","Flowing","Data Source","https://data-ocpw.opendata.arcgis.com/datasets/outfall-locations-and-observations-combined/explore"))</f>
        <v>50</v>
      </c>
      <c r="R4" s="14">
        <f>SUM(GETPIVOTDATA("Flow Status",$A$2,"Copermittee","ORANGE CO","TMDL Segment","Aliso Creek","Monitoring Year","2021-22","Flow Status","Dry","Data Source","https://data-ocpw.opendata.arcgis.com/datasets/outfall-locations-and-observations-combined/explore"),GETPIVOTDATA("Flow Status",$A$2,"Copermittee","MISSION VIEJO","TMDL Segment","Aliso Creek","Monitoring Year","2021-22","Flow Status","Dry","Data Source","https://data-ocpw.opendata.arcgis.com/datasets/outfall-locations-and-observations-combined/explore"),GETPIVOTDATA("Flow Status",$A$2,"Copermittee","LAKE FOREST","TMDL Segment","Aliso Creek","Monitoring Year","2021-22","Flow Status","Dry","Data Source","https://data-ocpw.opendata.arcgis.com/datasets/outfall-locations-and-observations-combined/explore"),GETPIVOTDATA("Flow Status",$A$2,"Copermittee","ALISO VIEJO","TMDL Segment","Aliso Creek","Monitoring Year","2021-22","Flow Status","Dry","Data Source","https://data-ocpw.opendata.arcgis.com/datasets/outfall-locations-and-observations-combined/explore"),GETPIVOTDATA("Flow Status",$A$2,"Copermittee","LAGUNA NIGUEL","TMDL Segment","Aliso Creek","Monitoring Year","2021-22","Flow Status","Dry","Data Source","https://data-ocpw.opendata.arcgis.com/datasets/outfall-locations-and-observations-combined/explore"),GETPIVOTDATA("Flow Status",$A$2,"Copermittee","LAGUNA WOODS","TMDL Segment","Aliso Creek","Monitoring Year","2021-22","Flow Status","Dry","Data Source","https://data-ocpw.opendata.arcgis.com/datasets/outfall-locations-and-observations-combined/explore"))</f>
        <v>15</v>
      </c>
      <c r="S4" s="14">
        <f>SUM(GETPIVOTDATA("Flow Status",$A$2,"Copermittee","ORANGE CO","TMDL Segment","Aliso Creek","Monitoring Year","2021-22","Flow Status","Pooled or Ponded","Data Source","https://data-ocpw.opendata.arcgis.com/datasets/outfall-locations-and-observations-combined/explore"),GETPIVOTDATA("Flow Status",$A$2,"Copermittee","MISSION VIEJO","TMDL Segment","Aliso Creek","Monitoring Year","2021-22","Flow Status","Pooled or Ponded","Data Source","https://data-ocpw.opendata.arcgis.com/datasets/outfall-locations-and-observations-combined/explore"),GETPIVOTDATA("Flow Status",$A$2,"Copermittee","LAKE FOREST","TMDL Segment","Aliso Creek","Monitoring Year","2021-22","Flow Status","Pooled or Ponded","Data Source","https://data-ocpw.opendata.arcgis.com/datasets/outfall-locations-and-observations-combined/explore"),GETPIVOTDATA("Flow Status",$A$2,"Copermittee","ALISO VIEJO","TMDL Segment","Aliso Creek","Monitoring Year","2021-22","Flow Status","Pooled or Ponded","Data Source","https://data-ocpw.opendata.arcgis.com/datasets/outfall-locations-and-observations-combined/explore"),GETPIVOTDATA("Flow Status",$A$2,"Copermittee","LAGUNA NIGUEL","TMDL Segment","Aliso Creek","Monitoring Year","2021-22","Flow Status","Pooled or Ponded","Data Source","https://data-ocpw.opendata.arcgis.com/datasets/outfall-locations-and-observations-combined/explore"),GETPIVOTDATA("Flow Status",$A$2,"Copermittee","LAGUNA WOODS","TMDL Segment","Aliso Creek","Monitoring Year","2021-22","Flow Status","Pooled or Ponded","Data Source","https://data-ocpw.opendata.arcgis.com/datasets/outfall-locations-and-observations-combined/explore"))</f>
        <v>32</v>
      </c>
      <c r="T4" s="14"/>
      <c r="U4" s="14">
        <f t="shared" si="0"/>
        <v>97</v>
      </c>
      <c r="V4" s="48">
        <f t="shared" ref="V4:V5" si="1">SUM(Q4,S4,T4)/U4</f>
        <v>0.84536082474226804</v>
      </c>
      <c r="W4" s="50"/>
    </row>
    <row r="5" spans="1:23" x14ac:dyDescent="0.25">
      <c r="D5" t="s">
        <v>115</v>
      </c>
      <c r="E5" s="20">
        <v>6</v>
      </c>
      <c r="F5" s="20">
        <v>4</v>
      </c>
      <c r="G5" s="20">
        <v>6</v>
      </c>
      <c r="H5" s="20"/>
      <c r="I5" s="20"/>
      <c r="J5" s="20">
        <v>16</v>
      </c>
      <c r="K5" s="20"/>
      <c r="M5" s="71"/>
      <c r="N5" s="14"/>
      <c r="O5" s="14"/>
      <c r="P5" s="14" t="s">
        <v>186</v>
      </c>
      <c r="Q5" s="14">
        <f>SUM(GETPIVOTDATA("Flow Status",$A$2,"Copermittee","ORANGE CO","TMDL Segment","Aliso Creek","Monitoring Year","2022-23","Flow Status","Flowing","Data Source","https://data-ocpw.opendata.arcgis.com/datasets/outfall-locations-and-observations-combined/explore"), GETPIVOTDATA("Flow Status",$A$2,"Copermittee","MISSION VIEJO","TMDL Segment","Aliso Creek","Monitoring Year","2022-23","Flow Status","Flowing","Data Source","https://data-ocpw.opendata.arcgis.com/datasets/outfall-locations-and-observations-combined/explore"), GETPIVOTDATA("Flow Status",$A$2,"Copermittee","LAKE FOREST","TMDL Segment","Aliso Creek","Monitoring Year","2022-23","Flow Status","Flowing","Data Source","https://data-ocpw.opendata.arcgis.com/datasets/outfall-locations-and-observations-combined/explore"), GETPIVOTDATA("Flow Status",$A$2,"Copermittee","ALISO VIEJO","TMDL Segment","Aliso Creek","Monitoring Year","2022-23","Flow Status","Flowing","Data Source","https://data-ocpw.opendata.arcgis.com/datasets/outfall-locations-and-observations-combined/explore"), GETPIVOTDATA("Flow Status",$A$2,"Copermittee","LAGUNA NIGUEL","TMDL Segment","Aliso Creek","Monitoring Year","2022-23","Flow Status","Flowing","Data Source","https://data-ocpw.opendata.arcgis.com/datasets/outfall-locations-and-observations-combined/explore"), GETPIVOTDATA("Flow Status",$A$2,"Copermittee","LAGUNA WOODS","TMDL Segment","Aliso Creek","Monitoring Year","2022-23","Flow Status","Flowing","Data Source","https://data-ocpw.opendata.arcgis.com/datasets/outfall-locations-and-observations-combined/explore"))</f>
        <v>71</v>
      </c>
      <c r="R5" s="14">
        <f>SUM(GETPIVOTDATA("Flow Status",$A$2,"Copermittee","ORANGE CO","TMDL Segment","Aliso Creek","Monitoring Year","2022-23","Flow Status","Dry","Data Source","https://data-ocpw.opendata.arcgis.com/datasets/outfall-locations-and-observations-combined/explore"),GETPIVOTDATA("Flow Status",$A$2,"Copermittee","MISSION VIEJO","TMDL Segment","Aliso Creek","Monitoring Year","2022-23","Flow Status","Dry","Data Source","https://data-ocpw.opendata.arcgis.com/datasets/outfall-locations-and-observations-combined/explore"),GETPIVOTDATA("Flow Status",$A$2,"Copermittee","LAKE FOREST","TMDL Segment","Aliso Creek","Monitoring Year","2022-23","Flow Status","Dry","Data Source","https://data-ocpw.opendata.arcgis.com/datasets/outfall-locations-and-observations-combined/explore"),GETPIVOTDATA("Flow Status",$A$2,"Copermittee","ALISO VIEJO","TMDL Segment","Aliso Creek","Monitoring Year","2022-23","Flow Status","Dry","Data Source","https://data-ocpw.opendata.arcgis.com/datasets/outfall-locations-and-observations-combined/explore"),GETPIVOTDATA("Flow Status",$A$2,"Copermittee","LAGUNA NIGUEL","TMDL Segment","Aliso Creek","Monitoring Year","2022-23","Flow Status","Dry","Data Source","https://data-ocpw.opendata.arcgis.com/datasets/outfall-locations-and-observations-combined/explore"),GETPIVOTDATA("Flow Status",$A$2,"Copermittee","LAGUNA WOODS","TMDL Segment","Aliso Creek","Monitoring Year","2022-23","Flow Status","Dry","Data Source","https://data-ocpw.opendata.arcgis.com/datasets/outfall-locations-and-observations-combined/explore"))</f>
        <v>14</v>
      </c>
      <c r="S5" s="14">
        <f>SUM(GETPIVOTDATA("Flow Status",$A$2,"Copermittee","ORANGE CO","TMDL Segment","Aliso Creek","Monitoring Year","2022-23","Flow Status","Pooled or Ponded","Data Source","https://data-ocpw.opendata.arcgis.com/datasets/outfall-locations-and-observations-combined/explore"),GETPIVOTDATA("Flow Status",$A$2,"Copermittee","MISSION VIEJO","TMDL Segment","Aliso Creek","Monitoring Year","2022-23","Flow Status","Pooled or Ponded","Data Source","https://data-ocpw.opendata.arcgis.com/datasets/outfall-locations-and-observations-combined/explore"),GETPIVOTDATA("Flow Status",$A$2,"Copermittee","LAKE FOREST","TMDL Segment","Aliso Creek","Monitoring Year","2022-23","Flow Status","Pooled or Ponded","Data Source","https://data-ocpw.opendata.arcgis.com/datasets/outfall-locations-and-observations-combined/explore"),GETPIVOTDATA("Flow Status",$A$2,"Copermittee","ALISO VIEJO","TMDL Segment","Aliso Creek","Monitoring Year","2022-23","Flow Status","Pooled or Ponded","Data Source","https://data-ocpw.opendata.arcgis.com/datasets/outfall-locations-and-observations-combined/explore"),GETPIVOTDATA("Flow Status",$A$2,"Copermittee","LAGUNA NIGUEL","TMDL Segment","Aliso Creek","Monitoring Year","2022-23","Flow Status","Pooled or Ponded","Data Source","https://data-ocpw.opendata.arcgis.com/datasets/outfall-locations-and-observations-combined/explore"),GETPIVOTDATA("Flow Status",$A$2,"Copermittee","LAGUNA WOODS","TMDL Segment","Aliso Creek","Monitoring Year","2022-23","Flow Status","Pooled or Ponded","Data Source","https://data-ocpw.opendata.arcgis.com/datasets/outfall-locations-and-observations-combined/explore"))</f>
        <v>28</v>
      </c>
      <c r="T5" s="14"/>
      <c r="U5" s="14">
        <f t="shared" si="0"/>
        <v>113</v>
      </c>
      <c r="V5" s="48">
        <f t="shared" si="1"/>
        <v>0.87610619469026552</v>
      </c>
      <c r="W5" s="51"/>
    </row>
    <row r="6" spans="1:23" x14ac:dyDescent="0.25">
      <c r="D6" t="s">
        <v>107</v>
      </c>
      <c r="E6" s="20">
        <v>7</v>
      </c>
      <c r="F6" s="20">
        <v>3</v>
      </c>
      <c r="G6" s="20">
        <v>1</v>
      </c>
      <c r="H6" s="20">
        <v>4</v>
      </c>
      <c r="I6" s="20">
        <v>4</v>
      </c>
      <c r="J6" s="20">
        <v>19</v>
      </c>
      <c r="K6" s="20"/>
      <c r="M6" s="71"/>
      <c r="N6" s="60" t="s">
        <v>111</v>
      </c>
      <c r="O6" s="14"/>
      <c r="P6" s="14" t="s">
        <v>20</v>
      </c>
      <c r="Q6" s="14">
        <f>GETPIVOTDATA("Flow Status",$A$2,"Copermittee","ORANGE CO","TMDL Segment","Aliso Creek","Monitoring Year","2020-21","Flow Status","Flowing","Data Source","https://data-ocpw.opendata.arcgis.com/datasets/outfall-locations-and-observations-combined/explore")</f>
        <v>0</v>
      </c>
      <c r="R6" s="14">
        <f>GETPIVOTDATA("Flow Status",$A$2,"Copermittee","ORANGE CO","TMDL Segment","Aliso Creek","Monitoring Year","2020-21","Flow Status","Dry","Data Source","https://data-ocpw.opendata.arcgis.com/datasets/outfall-locations-and-observations-combined/explore")</f>
        <v>1</v>
      </c>
      <c r="S6" s="14">
        <f>GETPIVOTDATA("Flow Status",$A$2,"Copermittee","ORANGE CO","TMDL Segment","Aliso Creek","Monitoring Year","2020-21","Flow Status","Pooled or Ponded","Data Source","https://data-ocpw.opendata.arcgis.com/datasets/outfall-locations-and-observations-combined/explore")</f>
        <v>1</v>
      </c>
      <c r="T6" s="14"/>
      <c r="U6" s="14">
        <f t="shared" si="0"/>
        <v>2</v>
      </c>
      <c r="V6" s="48">
        <f>SUM(Q6,S6,T6)/U6</f>
        <v>0.5</v>
      </c>
      <c r="W6" s="49">
        <f>MAX(V6:V8)</f>
        <v>1</v>
      </c>
    </row>
    <row r="7" spans="1:23" x14ac:dyDescent="0.25">
      <c r="C7" t="s">
        <v>185</v>
      </c>
      <c r="E7" s="20">
        <v>24</v>
      </c>
      <c r="F7" s="20">
        <v>12</v>
      </c>
      <c r="G7" s="20">
        <v>9</v>
      </c>
      <c r="H7" s="20">
        <v>4</v>
      </c>
      <c r="I7" s="20">
        <v>4</v>
      </c>
      <c r="J7" s="20">
        <v>53</v>
      </c>
      <c r="K7" s="20"/>
      <c r="M7" s="71"/>
      <c r="N7" s="61"/>
      <c r="O7" s="14"/>
      <c r="P7" s="14" t="s">
        <v>29</v>
      </c>
      <c r="Q7" s="14">
        <f>GETPIVOTDATA("Flow Status",$A$2,"Copermittee","ORANGE CO","TMDL Segment","Aliso Creek","Monitoring Year","2021-22","Flow Status","Flowing","Data Source","https://data-ocpw.opendata.arcgis.com/datasets/outfall-locations-and-observations-combined/explore")</f>
        <v>0</v>
      </c>
      <c r="R7" s="14">
        <f>GETPIVOTDATA("Flow Status",$A$2,"Copermittee","ORANGE CO","TMDL Segment","Aliso Creek","Monitoring Year","2021-22","Flow Status","Dry","Data Source","https://data-ocpw.opendata.arcgis.com/datasets/outfall-locations-and-observations-combined/explore")</f>
        <v>2</v>
      </c>
      <c r="S7" s="14">
        <f>GETPIVOTDATA("Flow Status",$A$2,"Copermittee","ORANGE CO","TMDL Segment","Aliso Creek","Monitoring Year","2021-22","Flow Status","Pooled or Ponded","Data Source","https://data-ocpw.opendata.arcgis.com/datasets/outfall-locations-and-observations-combined/explore")</f>
        <v>2</v>
      </c>
      <c r="T7" s="14"/>
      <c r="U7" s="14">
        <f t="shared" si="0"/>
        <v>4</v>
      </c>
      <c r="V7" s="48">
        <f>SUM(Q7,S7,T7)/U7</f>
        <v>0.5</v>
      </c>
      <c r="W7" s="50"/>
    </row>
    <row r="8" spans="1:23" x14ac:dyDescent="0.25">
      <c r="B8" t="s">
        <v>109</v>
      </c>
      <c r="C8" t="s">
        <v>127</v>
      </c>
      <c r="D8" t="s">
        <v>116</v>
      </c>
      <c r="E8" s="20">
        <v>23</v>
      </c>
      <c r="F8" s="20">
        <v>21</v>
      </c>
      <c r="G8" s="20">
        <v>15</v>
      </c>
      <c r="H8" s="20">
        <v>2</v>
      </c>
      <c r="I8" s="20"/>
      <c r="J8" s="20">
        <v>61</v>
      </c>
      <c r="K8" s="20"/>
      <c r="M8" s="71"/>
      <c r="N8" s="62"/>
      <c r="O8" s="14"/>
      <c r="P8" s="14" t="s">
        <v>186</v>
      </c>
      <c r="Q8" s="14">
        <f>GETPIVOTDATA("Flow Status",$A$2,"Copermittee","ORANGE CO","TMDL Segment","Aliso Creek","Monitoring Year","2022-23","Flow Status","Flowing","Data Source","https://data-ocpw.opendata.arcgis.com/datasets/outfall-locations-and-observations-combined/explore")</f>
        <v>0</v>
      </c>
      <c r="R8" s="14">
        <f>GETPIVOTDATA("Flow Status",$A$2,"Copermittee","ORANGE CO","TMDL Segment","Aliso Creek","Monitoring Year","2022-23","Flow Status","Dry","Data Source","https://data-ocpw.opendata.arcgis.com/datasets/outfall-locations-and-observations-combined/explore")</f>
        <v>0</v>
      </c>
      <c r="S8" s="14">
        <f>GETPIVOTDATA("Flow Status",$A$2,"Copermittee","ORANGE CO","TMDL Segment","Aliso Creek","Monitoring Year","2022-23","Flow Status","Pooled or Ponded","Data Source","https://data-ocpw.opendata.arcgis.com/datasets/outfall-locations-and-observations-combined/explore")</f>
        <v>3</v>
      </c>
      <c r="T8" s="14"/>
      <c r="U8" s="14">
        <f t="shared" si="0"/>
        <v>3</v>
      </c>
      <c r="V8" s="48">
        <f>SUM(Q8,S8,T8)/U8</f>
        <v>1</v>
      </c>
      <c r="W8" s="51"/>
    </row>
    <row r="9" spans="1:23" x14ac:dyDescent="0.25">
      <c r="D9" t="s">
        <v>115</v>
      </c>
      <c r="E9" s="20">
        <v>22</v>
      </c>
      <c r="F9" s="20">
        <v>19</v>
      </c>
      <c r="G9" s="20">
        <v>19</v>
      </c>
      <c r="H9" s="20">
        <v>1</v>
      </c>
      <c r="I9" s="20"/>
      <c r="J9" s="20">
        <v>61</v>
      </c>
      <c r="M9" s="71"/>
      <c r="N9" s="60" t="s">
        <v>137</v>
      </c>
      <c r="O9" s="14"/>
      <c r="P9" s="14" t="s">
        <v>20</v>
      </c>
      <c r="Q9" s="14">
        <f>GETPIVOTDATA("Flow Status",$A$2,"Copermittee","MISSION VIEJO","TMDL Segment","Aliso Creek","Monitoring Year","2020-21","Flow Status","Flowing","Data Source","https://data-ocpw.opendata.arcgis.com/datasets/outfall-locations-and-observations-combined/explore")</f>
        <v>4</v>
      </c>
      <c r="R9" s="14">
        <f>GETPIVOTDATA("Flow Status",$A$2,"Copermittee","MISSION VIEJO","TMDL Segment","Aliso Creek","Monitoring Year","2020-21","Flow Status","Dry","Data Source","https://data-ocpw.opendata.arcgis.com/datasets/outfall-locations-and-observations-combined/explore")</f>
        <v>1</v>
      </c>
      <c r="S9" s="14">
        <f>GETPIVOTDATA("Flow Status",$A$2,"Copermittee","MISSION VIEJO","TMDL Segment","Aliso Creek","Monitoring Year","2020-21","Flow Status","Pooled or Ponded","Data Source","https://data-ocpw.opendata.arcgis.com/datasets/outfall-locations-and-observations-combined/explore")</f>
        <v>0</v>
      </c>
      <c r="T9" s="14"/>
      <c r="U9" s="14">
        <f t="shared" ref="U9:U11" si="2">SUM(Q9:T9)</f>
        <v>5</v>
      </c>
      <c r="V9" s="48">
        <f>SUM(Q9,S9,T9)/U9</f>
        <v>0.8</v>
      </c>
      <c r="W9" s="49">
        <f>MAX(V9:V11)</f>
        <v>1</v>
      </c>
    </row>
    <row r="10" spans="1:23" x14ac:dyDescent="0.25">
      <c r="D10" t="s">
        <v>107</v>
      </c>
      <c r="E10" s="20">
        <v>23</v>
      </c>
      <c r="F10" s="20">
        <v>20</v>
      </c>
      <c r="G10" s="20">
        <v>15</v>
      </c>
      <c r="H10" s="20">
        <v>7</v>
      </c>
      <c r="I10" s="20">
        <v>3</v>
      </c>
      <c r="J10" s="20">
        <v>68</v>
      </c>
      <c r="M10" s="71"/>
      <c r="N10" s="61"/>
      <c r="O10" s="14"/>
      <c r="P10" s="14" t="s">
        <v>29</v>
      </c>
      <c r="Q10" s="14">
        <f>GETPIVOTDATA("Flow Status",$A$2,"Copermittee","MISSION VIEJO","TMDL Segment","Aliso Creek","Monitoring Year","2021-22","Flow Status","Flowing","Data Source","https://data-ocpw.opendata.arcgis.com/datasets/outfall-locations-and-observations-combined/explore")</f>
        <v>7</v>
      </c>
      <c r="R10" s="14">
        <f>GETPIVOTDATA("Flow Status",$A$2,"Copermittee","MISSION VIEJO","TMDL Segment","Aliso Creek","Monitoring Year","2021-22","Flow Status","Dry","Data Source","https://data-ocpw.opendata.arcgis.com/datasets/outfall-locations-and-observations-combined/explore")</f>
        <v>0</v>
      </c>
      <c r="S10" s="14">
        <f>GETPIVOTDATA("Flow Status",$A$2,"Copermittee","MISSION VIEJO","TMDL Segment","Aliso Creek","Monitoring Year","2021-22","Flow Status","Pooled or Ponded","Data Source","https://data-ocpw.opendata.arcgis.com/datasets/outfall-locations-and-observations-combined/explore")</f>
        <v>0</v>
      </c>
      <c r="T10" s="14"/>
      <c r="U10" s="14">
        <f t="shared" si="2"/>
        <v>7</v>
      </c>
      <c r="V10" s="48">
        <f>SUM(Q10,S10,T10)/U10</f>
        <v>1</v>
      </c>
      <c r="W10" s="50"/>
    </row>
    <row r="11" spans="1:23" x14ac:dyDescent="0.25">
      <c r="C11" t="s">
        <v>185</v>
      </c>
      <c r="E11" s="20">
        <v>68</v>
      </c>
      <c r="F11" s="20">
        <v>60</v>
      </c>
      <c r="G11" s="20">
        <v>49</v>
      </c>
      <c r="H11" s="20">
        <v>10</v>
      </c>
      <c r="I11" s="20">
        <v>3</v>
      </c>
      <c r="J11" s="20">
        <v>190</v>
      </c>
      <c r="M11" s="71"/>
      <c r="N11" s="62"/>
      <c r="O11" s="14"/>
      <c r="P11" s="14" t="s">
        <v>186</v>
      </c>
      <c r="Q11" s="14">
        <f>GETPIVOTDATA("Flow Status",$A$2,"Copermittee","MISSION VIEJO","TMDL Segment","Aliso Creek","Monitoring Year","2022-23","Flow Status","Flowing","Data Source","https://data-ocpw.opendata.arcgis.com/datasets/outfall-locations-and-observations-combined/explore")</f>
        <v>6</v>
      </c>
      <c r="R11" s="14">
        <f>GETPIVOTDATA("Flow Status",$A$2,"Copermittee","MISSION VIEJO","TMDL Segment","Aliso Creek","Monitoring Year","2022-23","Flow Status","Dry","Data Source","https://data-ocpw.opendata.arcgis.com/datasets/outfall-locations-and-observations-combined/explore")</f>
        <v>1</v>
      </c>
      <c r="S11" s="14">
        <f>GETPIVOTDATA("Flow Status",$A$2,"Copermittee","MISSION VIEJO","TMDL Segment","Aliso Creek","Monitoring Year","2022-23","Flow Status","Pooled or Ponded","Data Source","https://data-ocpw.opendata.arcgis.com/datasets/outfall-locations-and-observations-combined/explore")</f>
        <v>0</v>
      </c>
      <c r="T11" s="14"/>
      <c r="U11" s="14">
        <f t="shared" si="2"/>
        <v>7</v>
      </c>
      <c r="V11" s="48">
        <f>SUM(Q11,S11,T11)/U11</f>
        <v>0.8571428571428571</v>
      </c>
      <c r="W11" s="51"/>
    </row>
    <row r="12" spans="1:23" x14ac:dyDescent="0.25">
      <c r="B12" t="s">
        <v>110</v>
      </c>
      <c r="C12" t="s">
        <v>127</v>
      </c>
      <c r="D12" t="s">
        <v>115</v>
      </c>
      <c r="E12" s="20"/>
      <c r="F12" s="20">
        <v>2</v>
      </c>
      <c r="G12" s="20"/>
      <c r="H12" s="20"/>
      <c r="I12" s="20"/>
      <c r="J12" s="20">
        <v>2</v>
      </c>
      <c r="M12" s="71"/>
      <c r="N12" s="60" t="s">
        <v>136</v>
      </c>
      <c r="O12" s="14"/>
      <c r="P12" s="14" t="s">
        <v>20</v>
      </c>
      <c r="Q12" s="14">
        <f>GETPIVOTDATA("Flow Status",$A$2,"Copermittee","LAKE FOREST","TMDL Segment","Aliso Creek","Monitoring Year","2020-21","Flow Status","Flowing","Data Source","https://data-ocpw.opendata.arcgis.com/datasets/outfall-locations-and-observations-combined/explore")</f>
        <v>13</v>
      </c>
      <c r="R12" s="14">
        <f>GETPIVOTDATA("Flow Status",$A$2,"Copermittee","LAKE FOREST","TMDL Segment","Aliso Creek","Monitoring Year","2020-21","Flow Status","Dry","Data Source","https://data-ocpw.opendata.arcgis.com/datasets/outfall-locations-and-observations-combined/explore")</f>
        <v>7</v>
      </c>
      <c r="S12" s="14">
        <f>GETPIVOTDATA("Flow Status",$A$2,"Copermittee","LAKE FOREST","TMDL Segment","Aliso Creek","Monitoring Year","2020-21","Flow Status","Pooled or Ponded","Data Source","https://data-ocpw.opendata.arcgis.com/datasets/outfall-locations-and-observations-combined/explore")</f>
        <v>10</v>
      </c>
      <c r="T12" s="14"/>
      <c r="U12" s="14">
        <f t="shared" ref="U12:U14" si="3">SUM(Q12:T12)</f>
        <v>30</v>
      </c>
      <c r="V12" s="48">
        <f>SUM(Q12,S12,T12)/U12</f>
        <v>0.76666666666666672</v>
      </c>
      <c r="W12" s="49">
        <f>MAX(V12:V14)</f>
        <v>0.79545454545454541</v>
      </c>
    </row>
    <row r="13" spans="1:23" x14ac:dyDescent="0.25">
      <c r="D13" t="s">
        <v>107</v>
      </c>
      <c r="E13" s="20"/>
      <c r="F13" s="20">
        <v>2</v>
      </c>
      <c r="G13" s="20"/>
      <c r="H13" s="20"/>
      <c r="I13" s="20"/>
      <c r="J13" s="20">
        <v>2</v>
      </c>
      <c r="M13" s="71"/>
      <c r="N13" s="61"/>
      <c r="O13" s="14"/>
      <c r="P13" s="14" t="s">
        <v>29</v>
      </c>
      <c r="Q13" s="14">
        <f>GETPIVOTDATA("Flow Status",$A$2,"Copermittee","LAKE FOREST","TMDL Segment","Aliso Creek","Monitoring Year","2021-22","Flow Status","Flowing","Data Source","https://data-ocpw.opendata.arcgis.com/datasets/outfall-locations-and-observations-combined/explore")</f>
        <v>9</v>
      </c>
      <c r="R13" s="14">
        <f>GETPIVOTDATA("Flow Status",$A$2,"Copermittee","LAKE FOREST","TMDL Segment","Aliso Creek","Monitoring Year","2021-22","Flow Status","Dry","Data Source","https://data-ocpw.opendata.arcgis.com/datasets/outfall-locations-and-observations-combined/explore")</f>
        <v>9</v>
      </c>
      <c r="S13" s="14">
        <f>GETPIVOTDATA("Flow Status",$A$2,"Copermittee","LAKE FOREST","TMDL Segment","Aliso Creek","Monitoring Year","2021-22","Flow Status","Pooled or Ponded","Data Source","https://data-ocpw.opendata.arcgis.com/datasets/outfall-locations-and-observations-combined/explore")</f>
        <v>20</v>
      </c>
      <c r="T13" s="14"/>
      <c r="U13" s="14">
        <f t="shared" si="3"/>
        <v>38</v>
      </c>
      <c r="V13" s="48">
        <f>SUM(Q13,S13,T13)/U13</f>
        <v>0.76315789473684215</v>
      </c>
      <c r="W13" s="50"/>
    </row>
    <row r="14" spans="1:23" x14ac:dyDescent="0.25">
      <c r="C14" t="s">
        <v>185</v>
      </c>
      <c r="E14" s="20"/>
      <c r="F14" s="20">
        <v>4</v>
      </c>
      <c r="G14" s="20"/>
      <c r="H14" s="20"/>
      <c r="I14" s="20"/>
      <c r="J14" s="20">
        <v>4</v>
      </c>
      <c r="M14" s="71"/>
      <c r="N14" s="62"/>
      <c r="O14" s="14"/>
      <c r="P14" s="14" t="s">
        <v>186</v>
      </c>
      <c r="Q14" s="14">
        <f>GETPIVOTDATA("Flow Status",$A$2,"Copermittee","LAKE FOREST","TMDL Segment","Aliso Creek","Monitoring Year","2022-23","Flow Status","Flowing","Data Source","https://data-ocpw.opendata.arcgis.com/datasets/outfall-locations-and-observations-combined/explore")</f>
        <v>17</v>
      </c>
      <c r="R14" s="14">
        <f>GETPIVOTDATA("Flow Status",$A$2,"Copermittee","LAKE FOREST","TMDL Segment","Aliso Creek","Monitoring Year","2022-23","Flow Status","Dry","Data Source","https://data-ocpw.opendata.arcgis.com/datasets/outfall-locations-and-observations-combined/explore")</f>
        <v>9</v>
      </c>
      <c r="S14" s="14">
        <f>GETPIVOTDATA("Flow Status",$A$2,"Copermittee","LAKE FOREST","TMDL Segment","Aliso Creek","Monitoring Year","2022-23","Flow Status","Pooled or Ponded","Data Source","https://data-ocpw.opendata.arcgis.com/datasets/outfall-locations-and-observations-combined/explore")</f>
        <v>18</v>
      </c>
      <c r="T14" s="14"/>
      <c r="U14" s="14">
        <f t="shared" si="3"/>
        <v>44</v>
      </c>
      <c r="V14" s="48">
        <f>SUM(Q14,S14,T14)/U14</f>
        <v>0.79545454545454541</v>
      </c>
      <c r="W14" s="51"/>
    </row>
    <row r="15" spans="1:23" x14ac:dyDescent="0.25">
      <c r="A15" t="s">
        <v>135</v>
      </c>
      <c r="B15" t="s">
        <v>110</v>
      </c>
      <c r="C15" t="s">
        <v>127</v>
      </c>
      <c r="D15" t="s">
        <v>116</v>
      </c>
      <c r="E15" s="20">
        <v>8</v>
      </c>
      <c r="F15" s="20">
        <v>13</v>
      </c>
      <c r="G15" s="20"/>
      <c r="H15" s="20">
        <v>3</v>
      </c>
      <c r="I15" s="20"/>
      <c r="J15" s="20">
        <v>24</v>
      </c>
      <c r="M15" s="71"/>
      <c r="N15" s="60" t="s">
        <v>138</v>
      </c>
      <c r="O15" s="14"/>
      <c r="P15" s="14" t="s">
        <v>20</v>
      </c>
      <c r="Q15" s="14">
        <f>GETPIVOTDATA("Flow Status",$A$2,"Copermittee","ALISO VIEJO","TMDL Segment","Aliso Creek","Monitoring Year","2020-21","Flow Status","Flowing","Data Source","https://data-ocpw.opendata.arcgis.com/datasets/outfall-locations-and-observations-combined/explore")</f>
        <v>25</v>
      </c>
      <c r="R15" s="14">
        <f>GETPIVOTDATA("Flow Status",$A$2,"Copermittee","ALISO VIEJO","TMDL Segment","Aliso Creek","Monitoring Year","2020-21","Flow Status","Dry","Data Source","https://data-ocpw.opendata.arcgis.com/datasets/outfall-locations-and-observations-combined/explore")</f>
        <v>0</v>
      </c>
      <c r="S15" s="14">
        <f>GETPIVOTDATA("Flow Status",$A$2,"Copermittee","DANA POINT","TMDL Segment","Lower SJC","Monitoring Year","2020-21","Flow Status","Pooled or Ponded","Data Source","https://data-ocpw.opendata.arcgis.com/datasets/outfall-locations-and-observations-combined/explore")</f>
        <v>0</v>
      </c>
      <c r="T15" s="14"/>
      <c r="U15" s="14">
        <f t="shared" ref="U15:U17" si="4">SUM(Q15:T15)</f>
        <v>25</v>
      </c>
      <c r="V15" s="48">
        <f>SUM(Q15,S15,T15)/U15</f>
        <v>1</v>
      </c>
      <c r="W15" s="49">
        <f>MAX(V15:V17)</f>
        <v>1</v>
      </c>
    </row>
    <row r="16" spans="1:23" x14ac:dyDescent="0.25">
      <c r="D16" t="s">
        <v>115</v>
      </c>
      <c r="E16" s="20">
        <v>11</v>
      </c>
      <c r="F16" s="20">
        <v>16</v>
      </c>
      <c r="G16" s="20">
        <v>3</v>
      </c>
      <c r="H16" s="20"/>
      <c r="I16" s="20"/>
      <c r="J16" s="20">
        <v>30</v>
      </c>
      <c r="M16" s="71"/>
      <c r="N16" s="61"/>
      <c r="O16" s="14"/>
      <c r="P16" s="14" t="s">
        <v>29</v>
      </c>
      <c r="Q16" s="14">
        <f>GETPIVOTDATA("Flow Status",$A$2,"Copermittee","ALISO VIEJO","TMDL Segment","Aliso Creek","Monitoring Year","2021-22","Flow Status","Flowing","Data Source","https://data-ocpw.opendata.arcgis.com/datasets/outfall-locations-and-observations-combined/explore")</f>
        <v>25</v>
      </c>
      <c r="R16" s="14">
        <f>GETPIVOTDATA("Flow Status",$A$2,"Copermittee","ALISO VIEJO","TMDL Segment","Aliso Creek","Monitoring Year","2021-22","Flow Status","Dry","Data Source","https://data-ocpw.opendata.arcgis.com/datasets/outfall-locations-and-observations-combined/explore")</f>
        <v>4</v>
      </c>
      <c r="S16" s="14">
        <f>GETPIVOTDATA("Flow Status",$A$2,"Copermittee","DANA POINT","TMDL Segment","Lower SJC","Monitoring Year","2021-22","Flow Status","Pooled or Ponded","Data Source","https://data-ocpw.opendata.arcgis.com/datasets/outfall-locations-and-observations-combined/explore")</f>
        <v>3</v>
      </c>
      <c r="T16" s="14"/>
      <c r="U16" s="14">
        <f t="shared" si="4"/>
        <v>32</v>
      </c>
      <c r="V16" s="48">
        <f>SUM(Q16,S16,T16)/U16</f>
        <v>0.875</v>
      </c>
      <c r="W16" s="50"/>
    </row>
    <row r="17" spans="1:23" x14ac:dyDescent="0.25">
      <c r="D17" t="s">
        <v>107</v>
      </c>
      <c r="E17" s="20">
        <v>16</v>
      </c>
      <c r="F17" s="20">
        <v>11</v>
      </c>
      <c r="G17" s="20"/>
      <c r="H17" s="20">
        <v>1</v>
      </c>
      <c r="I17" s="20"/>
      <c r="J17" s="20">
        <v>28</v>
      </c>
      <c r="M17" s="71"/>
      <c r="N17" s="62"/>
      <c r="O17" s="14"/>
      <c r="P17" s="14" t="s">
        <v>186</v>
      </c>
      <c r="Q17" s="14">
        <f>GETPIVOTDATA("Flow Status",$A$2,"Copermittee","ALISO VIEJO","TMDL Segment","Aliso Creek","Monitoring Year","2022-23","Flow Status","Flowing","Data Source","https://data-ocpw.opendata.arcgis.com/datasets/outfall-locations-and-observations-combined/explore")</f>
        <v>26</v>
      </c>
      <c r="R17" s="14">
        <f>GETPIVOTDATA("Flow Status",$A$2,"Copermittee","ALISO VIEJO","TMDL Segment","Aliso Creek","Monitoring Year","2022-23","Flow Status","Dry","Data Source","https://data-ocpw.opendata.arcgis.com/datasets/outfall-locations-and-observations-combined/explore")</f>
        <v>4</v>
      </c>
      <c r="S17" s="14">
        <f>GETPIVOTDATA("Flow Status",$A$2,"Copermittee","ALISO VIEJO","TMDL Segment","Aliso Creek","Monitoring Year","2022-23","Flow Status","Pooled or Ponded","Data Source","https://data-ocpw.opendata.arcgis.com/datasets/outfall-locations-and-observations-combined/explore")</f>
        <v>1</v>
      </c>
      <c r="T17" s="14"/>
      <c r="U17" s="14">
        <f t="shared" si="4"/>
        <v>31</v>
      </c>
      <c r="V17" s="48">
        <f>SUM(Q17,S17,T17)/U17</f>
        <v>0.87096774193548387</v>
      </c>
      <c r="W17" s="51"/>
    </row>
    <row r="18" spans="1:23" x14ac:dyDescent="0.25">
      <c r="C18" t="s">
        <v>185</v>
      </c>
      <c r="E18" s="20">
        <v>35</v>
      </c>
      <c r="F18" s="20">
        <v>40</v>
      </c>
      <c r="G18" s="20">
        <v>3</v>
      </c>
      <c r="H18" s="20">
        <v>4</v>
      </c>
      <c r="I18" s="20"/>
      <c r="J18" s="20">
        <v>82</v>
      </c>
      <c r="M18" s="71"/>
      <c r="N18" s="60" t="s">
        <v>139</v>
      </c>
      <c r="O18" s="14"/>
      <c r="P18" s="14" t="s">
        <v>20</v>
      </c>
      <c r="Q18" s="14">
        <f>GETPIVOTDATA("Flow Status",$A$2,"Copermittee","LAGUNA NIGUEL","TMDL Segment","Aliso Creek","Monitoring Year","2020-21","Flow Status","Flowing","Data Source","https://data-ocpw.opendata.arcgis.com/datasets/outfall-locations-and-observations-combined/explore")</f>
        <v>14</v>
      </c>
      <c r="R18" s="14">
        <f>GETPIVOTDATA("Flow Status",$A$2,"Copermittee","LAGUNA NIGUEL","TMDL Segment","Aliso Creek","Monitoring Year","2020-21","Flow Status","Dry","Data Source","https://data-ocpw.opendata.arcgis.com/datasets/outfall-locations-and-observations-combined/explore")</f>
        <v>0</v>
      </c>
      <c r="S18" s="14">
        <f>GETPIVOTDATA("Flow Status",$A$2,"Copermittee","LAGUNA NIGUEL","TMDL Segment","Aliso Creek","Monitoring Year","2020-21","Flow Status","Pooled or Ponded","Data Source","https://data-ocpw.opendata.arcgis.com/datasets/outfall-locations-and-observations-combined/explore")</f>
        <v>2</v>
      </c>
      <c r="T18" s="14"/>
      <c r="U18" s="14">
        <f t="shared" ref="U18:U20" si="5">SUM(Q18:T18)</f>
        <v>16</v>
      </c>
      <c r="V18" s="48">
        <f>SUM(Q18,S18,T18)/U18</f>
        <v>1</v>
      </c>
      <c r="W18" s="49">
        <f>MAX(V18:V20)</f>
        <v>1</v>
      </c>
    </row>
    <row r="19" spans="1:23" x14ac:dyDescent="0.25">
      <c r="A19" t="s">
        <v>134</v>
      </c>
      <c r="B19" t="s">
        <v>110</v>
      </c>
      <c r="C19" t="s">
        <v>127</v>
      </c>
      <c r="D19" t="s">
        <v>116</v>
      </c>
      <c r="E19" s="20"/>
      <c r="F19" s="20">
        <v>4</v>
      </c>
      <c r="G19" s="20"/>
      <c r="H19" s="20"/>
      <c r="I19" s="20"/>
      <c r="J19" s="20">
        <v>4</v>
      </c>
      <c r="M19" s="71"/>
      <c r="N19" s="61"/>
      <c r="O19" s="14"/>
      <c r="P19" s="14" t="s">
        <v>29</v>
      </c>
      <c r="Q19" s="14">
        <f>GETPIVOTDATA("Flow Status",$A$2,"Copermittee","LAGUNA NIGUEL","TMDL Segment","Aliso Creek","Monitoring Year","2021-22","Flow Status","Flowing","Data Source","https://data-ocpw.opendata.arcgis.com/datasets/outfall-locations-and-observations-combined/explore")</f>
        <v>9</v>
      </c>
      <c r="R19" s="14">
        <f>GETPIVOTDATA("Flow Status",$A$2,"Copermittee","LAGUNA NIGUEL","TMDL Segment","Aliso Creek","Monitoring Year","2021-22","Flow Status","Dry","Data Source","https://data-ocpw.opendata.arcgis.com/datasets/outfall-locations-and-observations-combined/explore")</f>
        <v>0</v>
      </c>
      <c r="S19" s="14">
        <f>GETPIVOTDATA("Flow Status",$A$2,"Copermittee","LAGUNA NIGUEL","TMDL Segment","Aliso Creek","Monitoring Year","2021-22","Flow Status","Pooled or Ponded","Data Source","https://data-ocpw.opendata.arcgis.com/datasets/outfall-locations-and-observations-combined/explore")</f>
        <v>3</v>
      </c>
      <c r="T19" s="14"/>
      <c r="U19" s="14">
        <f t="shared" si="5"/>
        <v>12</v>
      </c>
      <c r="V19" s="48">
        <f>SUM(Q19,S19,T19)/U19</f>
        <v>1</v>
      </c>
      <c r="W19" s="50"/>
    </row>
    <row r="20" spans="1:23" x14ac:dyDescent="0.25">
      <c r="D20" t="s">
        <v>115</v>
      </c>
      <c r="E20" s="20"/>
      <c r="F20" s="20">
        <v>4</v>
      </c>
      <c r="G20" s="20"/>
      <c r="H20" s="20"/>
      <c r="I20" s="20"/>
      <c r="J20" s="20">
        <v>4</v>
      </c>
      <c r="M20" s="71"/>
      <c r="N20" s="62"/>
      <c r="O20" s="14"/>
      <c r="P20" s="14" t="s">
        <v>186</v>
      </c>
      <c r="Q20" s="14">
        <f>GETPIVOTDATA("Flow Status",$A$2,"Copermittee","LAGUNA NIGUEL","TMDL Segment","Aliso Creek","Monitoring Year","2022-23","Flow Status","Flowing","Data Source","https://data-ocpw.opendata.arcgis.com/datasets/outfall-locations-and-observations-combined/explore")</f>
        <v>21</v>
      </c>
      <c r="R20" s="14">
        <f>GETPIVOTDATA("Flow Status",$A$2,"Copermittee","LAGUNA NIGUEL","TMDL Segment","Aliso Creek","Monitoring Year","2022-23","Flow Status","Dry","Data Source","https://data-ocpw.opendata.arcgis.com/datasets/outfall-locations-and-observations-combined/explore")</f>
        <v>0</v>
      </c>
      <c r="S20" s="14">
        <f>GETPIVOTDATA("Flow Status",$A$2,"Copermittee","LAGUNA NIGUEL","TMDL Segment","Aliso Creek","Monitoring Year","2022-23","Flow Status","Pooled or Ponded","Data Source","https://data-ocpw.opendata.arcgis.com/datasets/outfall-locations-and-observations-combined/explore")</f>
        <v>3</v>
      </c>
      <c r="T20" s="14"/>
      <c r="U20" s="14">
        <f t="shared" si="5"/>
        <v>24</v>
      </c>
      <c r="V20" s="48">
        <f>SUM(Q20,S20,T20)/U20</f>
        <v>1</v>
      </c>
      <c r="W20" s="51"/>
    </row>
    <row r="21" spans="1:23" x14ac:dyDescent="0.25">
      <c r="D21" t="s">
        <v>107</v>
      </c>
      <c r="E21" s="20"/>
      <c r="F21" s="20">
        <v>3</v>
      </c>
      <c r="G21" s="20"/>
      <c r="H21" s="20">
        <v>1</v>
      </c>
      <c r="I21" s="20"/>
      <c r="J21" s="20">
        <v>4</v>
      </c>
      <c r="M21" s="71"/>
      <c r="N21" s="60" t="s">
        <v>140</v>
      </c>
      <c r="O21" s="14"/>
      <c r="P21" s="14" t="s">
        <v>20</v>
      </c>
      <c r="Q21" s="14">
        <f>GETPIVOTDATA("Flow Status",$A$2,"Copermittee","LAGUNA WOODS","TMDL Segment","Aliso Creek","Monitoring Year","2020-21","Flow Status","Flowing","Data Source","https://data-ocpw.opendata.arcgis.com/datasets/outfall-locations-and-observations-combined/explore")</f>
        <v>0</v>
      </c>
      <c r="R21" s="14">
        <f>GETPIVOTDATA("Flow Status",$A$2,"Copermittee","LAGUNA WOODS","TMDL Segment","Aliso Creek","Monitoring Year","2020-21","Flow Status","Dry","Data Source","https://data-ocpw.opendata.arcgis.com/datasets/outfall-locations-and-observations-combined/explore")</f>
        <v>0</v>
      </c>
      <c r="S21" s="14">
        <f>GETPIVOTDATA("Flow Status",$A$2,"Copermittee","LAGUNA WOODS","TMDL Segment","Aliso Creek","Monitoring Year","2020-21","Flow Status","Pooled or Ponded","Data Source","https://data-ocpw.opendata.arcgis.com/datasets/outfall-locations-and-observations-combined/explore")</f>
        <v>2</v>
      </c>
      <c r="T21" s="14"/>
      <c r="U21" s="14">
        <f t="shared" ref="U21:U23" si="6">SUM(Q21:T21)</f>
        <v>2</v>
      </c>
      <c r="V21" s="48">
        <f>SUM(Q21,S21,T21)/U21</f>
        <v>1</v>
      </c>
      <c r="W21" s="49">
        <f>MAX(V21:V23)</f>
        <v>1</v>
      </c>
    </row>
    <row r="22" spans="1:23" x14ac:dyDescent="0.25">
      <c r="C22" t="s">
        <v>185</v>
      </c>
      <c r="E22" s="20"/>
      <c r="F22" s="20">
        <v>11</v>
      </c>
      <c r="G22" s="20"/>
      <c r="H22" s="20">
        <v>1</v>
      </c>
      <c r="I22" s="20"/>
      <c r="J22" s="20">
        <v>12</v>
      </c>
      <c r="M22" s="71"/>
      <c r="N22" s="61"/>
      <c r="O22" s="14"/>
      <c r="P22" s="14" t="s">
        <v>29</v>
      </c>
      <c r="Q22" s="14">
        <f>GETPIVOTDATA("Flow Status",$A$2,"Copermittee","LAGUNA WOODS","TMDL Segment","Aliso Creek","Monitoring Year","2021-22","Flow Status","Flowing","Data Source","https://data-ocpw.opendata.arcgis.com/datasets/outfall-locations-and-observations-combined/explore")</f>
        <v>0</v>
      </c>
      <c r="R22" s="14">
        <f>GETPIVOTDATA("Flow Status",$A$2,"Copermittee","LAGUNA WOODS","TMDL Segment","Aliso Creek","Monitoring Year","2021-22","Flow Status","Dry","Data Source","https://data-ocpw.opendata.arcgis.com/datasets/outfall-locations-and-observations-combined/explore")</f>
        <v>0</v>
      </c>
      <c r="S22" s="14">
        <f>GETPIVOTDATA("Flow Status",$A$2,"Copermittee","LAGUNA WOODS","TMDL Segment","Aliso Creek","Monitoring Year","2021-22","Flow Status","Pooled or Ponded","Data Source","https://data-ocpw.opendata.arcgis.com/datasets/outfall-locations-and-observations-combined/explore")</f>
        <v>4</v>
      </c>
      <c r="T22" s="14"/>
      <c r="U22" s="14">
        <f t="shared" si="6"/>
        <v>4</v>
      </c>
      <c r="V22" s="48">
        <f>SUM(Q22,S22,T22)/U22</f>
        <v>1</v>
      </c>
      <c r="W22" s="50"/>
    </row>
    <row r="23" spans="1:23" x14ac:dyDescent="0.25">
      <c r="A23" t="s">
        <v>182</v>
      </c>
      <c r="B23" t="s">
        <v>111</v>
      </c>
      <c r="C23" t="s">
        <v>127</v>
      </c>
      <c r="D23" t="s">
        <v>116</v>
      </c>
      <c r="E23" s="66"/>
      <c r="F23" s="66">
        <v>1</v>
      </c>
      <c r="G23" s="66">
        <v>1</v>
      </c>
      <c r="H23" s="66"/>
      <c r="I23" s="66"/>
      <c r="J23" s="66">
        <v>2</v>
      </c>
      <c r="M23" s="71"/>
      <c r="N23" s="62"/>
      <c r="O23" s="14"/>
      <c r="P23" s="14" t="s">
        <v>186</v>
      </c>
      <c r="Q23" s="14">
        <f>GETPIVOTDATA("Flow Status",$A$2,"Copermittee","LAGUNA WOODS","TMDL Segment","Aliso Creek","Monitoring Year","2022-23","Flow Status","Flowing","Data Source","https://data-ocpw.opendata.arcgis.com/datasets/outfall-locations-and-observations-combined/explore")</f>
        <v>1</v>
      </c>
      <c r="R23" s="14">
        <f>GETPIVOTDATA("Flow Status",$A$2,"Copermittee","LAGUNA WOODS","TMDL Segment","Aliso Creek","Monitoring Year","2022-23","Flow Status","Dry","Data Source","https://data-ocpw.opendata.arcgis.com/datasets/outfall-locations-and-observations-combined/explore")</f>
        <v>0</v>
      </c>
      <c r="S23" s="14">
        <f>GETPIVOTDATA("Flow Status",$A$2,"Copermittee","LAGUNA WOODS","TMDL Segment","Aliso Creek","Monitoring Year","2022-23","Flow Status","Pooled or Ponded","Data Source","https://data-ocpw.opendata.arcgis.com/datasets/outfall-locations-and-observations-combined/explore")</f>
        <v>3</v>
      </c>
      <c r="T23" s="14"/>
      <c r="U23" s="14">
        <f t="shared" si="6"/>
        <v>4</v>
      </c>
      <c r="V23" s="48">
        <f>SUM(Q23,S23,T23)/U23</f>
        <v>1</v>
      </c>
      <c r="W23" s="51"/>
    </row>
    <row r="24" spans="1:23" x14ac:dyDescent="0.25">
      <c r="D24" t="s">
        <v>115</v>
      </c>
      <c r="E24" s="66"/>
      <c r="F24" s="66">
        <v>2</v>
      </c>
      <c r="G24" s="66">
        <v>2</v>
      </c>
      <c r="H24" s="66"/>
      <c r="I24" s="66"/>
      <c r="J24" s="66">
        <v>4</v>
      </c>
      <c r="M24" s="72"/>
      <c r="N24" s="47"/>
      <c r="O24" s="67"/>
      <c r="P24" s="67"/>
      <c r="Q24" s="67"/>
      <c r="R24" s="67"/>
      <c r="S24" s="67"/>
      <c r="T24" s="67"/>
      <c r="U24" s="67"/>
      <c r="V24" s="68"/>
      <c r="W24" s="46"/>
    </row>
    <row r="25" spans="1:23" x14ac:dyDescent="0.25">
      <c r="D25" t="s">
        <v>107</v>
      </c>
      <c r="E25" s="66"/>
      <c r="F25" s="66"/>
      <c r="G25" s="66">
        <v>3</v>
      </c>
      <c r="H25" s="66">
        <v>1</v>
      </c>
      <c r="I25" s="66"/>
      <c r="J25" s="66">
        <v>4</v>
      </c>
      <c r="M25" s="71" t="s">
        <v>184</v>
      </c>
      <c r="N25" s="71" t="s">
        <v>110</v>
      </c>
      <c r="O25" s="14"/>
      <c r="P25" s="14" t="s">
        <v>20</v>
      </c>
      <c r="Q25" s="14">
        <f>SUM(GETPIVOTDATA("Flow Status",$A$2,"Copermittee","DANA POINT","TMDL Segment","Lower SJC","Monitoring Year","2020-21","Flow Status","Flowing","Data Source","https://data-ocpw.opendata.arcgis.com/datasets/outfall-locations-and-observations-combined/explore"))</f>
        <v>8</v>
      </c>
      <c r="R25" s="14">
        <f>GETPIVOTDATA("Flow Status",$A$2,"Copermittee","DANA POINT","TMDL Segment","Lower SJC","Monitoring Year","2020-21","Flow Status","Dry","Data Source","https://data-ocpw.opendata.arcgis.com/datasets/outfall-locations-and-observations-combined/explore")</f>
        <v>13</v>
      </c>
      <c r="S25" s="14">
        <f>GETPIVOTDATA("Flow Status",$A$2,"Copermittee","DANA POINT","TMDL Segment","Lower SJC","Monitoring Year","2020-21","Flow Status","Pooled or Ponded","Data Source","https://data-ocpw.opendata.arcgis.com/datasets/outfall-locations-and-observations-combined/explore")</f>
        <v>0</v>
      </c>
      <c r="T25" s="14"/>
      <c r="U25" s="14">
        <f t="shared" ref="U25:U27" si="7">SUM(Q25:T25)</f>
        <v>21</v>
      </c>
      <c r="V25" s="69">
        <f>SUM(Q25,S25,T25)/U25</f>
        <v>0.38095238095238093</v>
      </c>
      <c r="W25" s="70">
        <f>MAX(V25:V27)</f>
        <v>0.59259259259259256</v>
      </c>
    </row>
    <row r="26" spans="1:23" x14ac:dyDescent="0.25">
      <c r="C26" t="s">
        <v>185</v>
      </c>
      <c r="E26" s="20"/>
      <c r="F26" s="20">
        <v>3</v>
      </c>
      <c r="G26" s="20">
        <v>6</v>
      </c>
      <c r="H26" s="20">
        <v>1</v>
      </c>
      <c r="I26" s="20"/>
      <c r="J26" s="20">
        <v>10</v>
      </c>
      <c r="M26" s="71"/>
      <c r="N26" s="71"/>
      <c r="O26" s="14"/>
      <c r="P26" s="14" t="s">
        <v>29</v>
      </c>
      <c r="Q26" s="14">
        <f>GETPIVOTDATA("Flow Status",$A$2,"Copermittee","DANA POINT","TMDL Segment","Lower SJC","Monitoring Year","2021-22","Flow Status","Flowing","Data Source","https://data-ocpw.opendata.arcgis.com/datasets/outfall-locations-and-observations-combined/explore")</f>
        <v>11</v>
      </c>
      <c r="R26" s="14">
        <f>GETPIVOTDATA("Flow Status",$A$2,"Copermittee","DANA POINT","TMDL Segment","Lower SJC","Monitoring Year","2021-22","Flow Status","Dry","Data Source","https://data-ocpw.opendata.arcgis.com/datasets/outfall-locations-and-observations-combined/explore")</f>
        <v>16</v>
      </c>
      <c r="S26" s="14">
        <f>GETPIVOTDATA("Flow Status",$A$2,"Copermittee","DANA POINT","TMDL Segment","Lower SJC","Monitoring Year","2021-22","Flow Status","Pooled or Ponded","Data Source","https://data-ocpw.opendata.arcgis.com/datasets/outfall-locations-and-observations-combined/explore")</f>
        <v>3</v>
      </c>
      <c r="T26" s="14"/>
      <c r="U26" s="14">
        <f t="shared" si="7"/>
        <v>30</v>
      </c>
      <c r="V26" s="69">
        <f>SUM(Q26,S26,T26)/U26</f>
        <v>0.46666666666666667</v>
      </c>
      <c r="W26" s="71"/>
    </row>
    <row r="27" spans="1:23" x14ac:dyDescent="0.25">
      <c r="B27" t="s">
        <v>137</v>
      </c>
      <c r="C27" t="s">
        <v>127</v>
      </c>
      <c r="D27" t="s">
        <v>116</v>
      </c>
      <c r="E27" s="20">
        <v>4</v>
      </c>
      <c r="F27" s="20">
        <v>1</v>
      </c>
      <c r="G27" s="20"/>
      <c r="H27" s="20"/>
      <c r="I27" s="20"/>
      <c r="J27" s="20">
        <v>5</v>
      </c>
      <c r="M27" s="71"/>
      <c r="N27" s="71"/>
      <c r="O27" s="14"/>
      <c r="P27" s="14" t="s">
        <v>186</v>
      </c>
      <c r="Q27" s="14">
        <f>GETPIVOTDATA("Flow Status",$A$2,"Copermittee","DANA POINT","TMDL Segment","Lower SJC","Monitoring Year","2022-23","Flow Status","Flowing","Data Source","https://data-ocpw.opendata.arcgis.com/datasets/outfall-locations-and-observations-combined/explore")</f>
        <v>16</v>
      </c>
      <c r="R27" s="14">
        <f>GETPIVOTDATA("Flow Status",$A$2,"Copermittee","DANA POINT","TMDL Segment","Lower SJC","Monitoring Year","2022-23","Flow Status","Dry","Data Source","https://data-ocpw.opendata.arcgis.com/datasets/outfall-locations-and-observations-combined/explore")</f>
        <v>11</v>
      </c>
      <c r="S27" s="14">
        <f>GETPIVOTDATA("Flow Status",$A$2,"Copermittee","DANA POINT","TMDL Segment","Lower SJC","Monitoring Year","2022-23","Flow Status","Pooled or Ponded","Data Source","https://data-ocpw.opendata.arcgis.com/datasets/outfall-locations-and-observations-combined/explore")</f>
        <v>0</v>
      </c>
      <c r="T27" s="14"/>
      <c r="U27" s="14">
        <f t="shared" si="7"/>
        <v>27</v>
      </c>
      <c r="V27" s="69">
        <f>SUM(Q27,S27,T27)/U27</f>
        <v>0.59259259259259256</v>
      </c>
      <c r="W27" s="71"/>
    </row>
    <row r="28" spans="1:23" x14ac:dyDescent="0.25">
      <c r="D28" t="s">
        <v>115</v>
      </c>
      <c r="E28" s="20">
        <v>7</v>
      </c>
      <c r="F28" s="20"/>
      <c r="G28" s="20"/>
      <c r="H28" s="20"/>
      <c r="I28" s="20"/>
      <c r="J28" s="20">
        <v>7</v>
      </c>
    </row>
    <row r="29" spans="1:23" x14ac:dyDescent="0.25">
      <c r="D29" t="s">
        <v>107</v>
      </c>
      <c r="E29" s="20">
        <v>6</v>
      </c>
      <c r="F29" s="20">
        <v>1</v>
      </c>
      <c r="G29" s="20"/>
      <c r="H29" s="20"/>
      <c r="I29" s="20"/>
      <c r="J29" s="20">
        <v>7</v>
      </c>
    </row>
    <row r="30" spans="1:23" x14ac:dyDescent="0.25">
      <c r="C30" t="s">
        <v>185</v>
      </c>
      <c r="E30" s="20">
        <v>17</v>
      </c>
      <c r="F30" s="20">
        <v>2</v>
      </c>
      <c r="G30" s="20"/>
      <c r="H30" s="20"/>
      <c r="I30" s="20"/>
      <c r="J30" s="20">
        <v>19</v>
      </c>
    </row>
    <row r="31" spans="1:23" x14ac:dyDescent="0.25">
      <c r="B31" t="s">
        <v>136</v>
      </c>
      <c r="C31" t="s">
        <v>127</v>
      </c>
      <c r="D31" t="s">
        <v>116</v>
      </c>
      <c r="E31" s="20">
        <v>13</v>
      </c>
      <c r="F31" s="20">
        <v>7</v>
      </c>
      <c r="G31" s="20">
        <v>10</v>
      </c>
      <c r="H31" s="20">
        <v>1</v>
      </c>
      <c r="I31" s="20"/>
      <c r="J31" s="20">
        <v>31</v>
      </c>
    </row>
    <row r="32" spans="1:23" x14ac:dyDescent="0.25">
      <c r="D32" t="s">
        <v>115</v>
      </c>
      <c r="E32" s="20">
        <v>9</v>
      </c>
      <c r="F32" s="20">
        <v>9</v>
      </c>
      <c r="G32" s="20">
        <v>20</v>
      </c>
      <c r="H32" s="20">
        <v>1</v>
      </c>
      <c r="I32" s="20">
        <v>2</v>
      </c>
      <c r="J32" s="20">
        <v>41</v>
      </c>
    </row>
    <row r="33" spans="1:10" x14ac:dyDescent="0.25">
      <c r="D33" t="s">
        <v>107</v>
      </c>
      <c r="E33" s="20">
        <v>17</v>
      </c>
      <c r="F33" s="20">
        <v>9</v>
      </c>
      <c r="G33" s="20">
        <v>18</v>
      </c>
      <c r="H33" s="20">
        <v>3</v>
      </c>
      <c r="I33" s="20"/>
      <c r="J33" s="20">
        <v>47</v>
      </c>
    </row>
    <row r="34" spans="1:10" x14ac:dyDescent="0.25">
      <c r="C34" t="s">
        <v>185</v>
      </c>
      <c r="E34" s="20">
        <v>39</v>
      </c>
      <c r="F34" s="20">
        <v>25</v>
      </c>
      <c r="G34" s="20">
        <v>48</v>
      </c>
      <c r="H34" s="20">
        <v>5</v>
      </c>
      <c r="I34" s="20">
        <v>2</v>
      </c>
      <c r="J34" s="20">
        <v>119</v>
      </c>
    </row>
    <row r="35" spans="1:10" x14ac:dyDescent="0.25">
      <c r="B35" t="s">
        <v>138</v>
      </c>
      <c r="C35" t="s">
        <v>127</v>
      </c>
      <c r="D35" t="s">
        <v>116</v>
      </c>
      <c r="E35" s="20">
        <v>25</v>
      </c>
      <c r="F35" s="20"/>
      <c r="G35" s="20"/>
      <c r="H35" s="20"/>
      <c r="I35" s="20"/>
      <c r="J35" s="20">
        <v>25</v>
      </c>
    </row>
    <row r="36" spans="1:10" x14ac:dyDescent="0.25">
      <c r="D36" t="s">
        <v>115</v>
      </c>
      <c r="E36" s="20">
        <v>25</v>
      </c>
      <c r="F36" s="20">
        <v>4</v>
      </c>
      <c r="G36" s="20">
        <v>3</v>
      </c>
      <c r="H36" s="20"/>
      <c r="I36" s="20"/>
      <c r="J36" s="20">
        <v>32</v>
      </c>
    </row>
    <row r="37" spans="1:10" x14ac:dyDescent="0.25">
      <c r="D37" t="s">
        <v>107</v>
      </c>
      <c r="E37" s="20">
        <v>26</v>
      </c>
      <c r="F37" s="20">
        <v>4</v>
      </c>
      <c r="G37" s="20">
        <v>1</v>
      </c>
      <c r="H37" s="20">
        <v>1</v>
      </c>
      <c r="I37" s="20"/>
      <c r="J37" s="20">
        <v>32</v>
      </c>
    </row>
    <row r="38" spans="1:10" x14ac:dyDescent="0.25">
      <c r="C38" t="s">
        <v>185</v>
      </c>
      <c r="E38" s="20">
        <v>76</v>
      </c>
      <c r="F38" s="20">
        <v>8</v>
      </c>
      <c r="G38" s="20">
        <v>4</v>
      </c>
      <c r="H38" s="20">
        <v>1</v>
      </c>
      <c r="I38" s="20"/>
      <c r="J38" s="20">
        <v>89</v>
      </c>
    </row>
    <row r="39" spans="1:10" x14ac:dyDescent="0.25">
      <c r="B39" t="s">
        <v>139</v>
      </c>
      <c r="C39" t="s">
        <v>127</v>
      </c>
      <c r="D39" t="s">
        <v>116</v>
      </c>
      <c r="E39" s="20">
        <v>14</v>
      </c>
      <c r="F39" s="20"/>
      <c r="G39" s="20">
        <v>2</v>
      </c>
      <c r="H39" s="20"/>
      <c r="I39" s="20"/>
      <c r="J39" s="20">
        <v>16</v>
      </c>
    </row>
    <row r="40" spans="1:10" x14ac:dyDescent="0.25">
      <c r="D40" t="s">
        <v>115</v>
      </c>
      <c r="E40" s="20">
        <v>9</v>
      </c>
      <c r="F40" s="20"/>
      <c r="G40" s="20">
        <v>3</v>
      </c>
      <c r="H40" s="20"/>
      <c r="I40" s="20"/>
      <c r="J40" s="20">
        <v>12</v>
      </c>
    </row>
    <row r="41" spans="1:10" x14ac:dyDescent="0.25">
      <c r="D41" t="s">
        <v>107</v>
      </c>
      <c r="E41" s="20">
        <v>21</v>
      </c>
      <c r="F41" s="20"/>
      <c r="G41" s="20">
        <v>3</v>
      </c>
      <c r="H41" s="20"/>
      <c r="I41" s="20"/>
      <c r="J41" s="20">
        <v>24</v>
      </c>
    </row>
    <row r="42" spans="1:10" x14ac:dyDescent="0.25">
      <c r="C42" t="s">
        <v>185</v>
      </c>
      <c r="E42" s="20">
        <v>44</v>
      </c>
      <c r="F42" s="20"/>
      <c r="G42" s="20">
        <v>8</v>
      </c>
      <c r="H42" s="20"/>
      <c r="I42" s="20"/>
      <c r="J42" s="20">
        <v>52</v>
      </c>
    </row>
    <row r="43" spans="1:10" x14ac:dyDescent="0.25">
      <c r="B43" t="s">
        <v>140</v>
      </c>
      <c r="C43" t="s">
        <v>127</v>
      </c>
      <c r="D43" t="s">
        <v>116</v>
      </c>
      <c r="E43" s="20"/>
      <c r="F43" s="20"/>
      <c r="G43" s="20">
        <v>2</v>
      </c>
      <c r="H43" s="20"/>
      <c r="I43" s="20"/>
      <c r="J43" s="20">
        <v>2</v>
      </c>
    </row>
    <row r="44" spans="1:10" x14ac:dyDescent="0.25">
      <c r="D44" t="s">
        <v>115</v>
      </c>
      <c r="E44" s="20"/>
      <c r="F44" s="20"/>
      <c r="G44" s="20">
        <v>4</v>
      </c>
      <c r="H44" s="20"/>
      <c r="I44" s="20"/>
      <c r="J44" s="20">
        <v>4</v>
      </c>
    </row>
    <row r="45" spans="1:10" x14ac:dyDescent="0.25">
      <c r="D45" t="s">
        <v>107</v>
      </c>
      <c r="E45" s="20">
        <v>1</v>
      </c>
      <c r="F45" s="20"/>
      <c r="G45" s="20">
        <v>3</v>
      </c>
      <c r="H45" s="20"/>
      <c r="I45" s="20"/>
      <c r="J45" s="20">
        <v>4</v>
      </c>
    </row>
    <row r="46" spans="1:10" x14ac:dyDescent="0.25">
      <c r="C46" t="s">
        <v>185</v>
      </c>
      <c r="E46" s="20">
        <v>1</v>
      </c>
      <c r="F46" s="20"/>
      <c r="G46" s="20">
        <v>9</v>
      </c>
      <c r="H46" s="20"/>
      <c r="I46" s="20"/>
      <c r="J46" s="20">
        <v>10</v>
      </c>
    </row>
    <row r="47" spans="1:10" x14ac:dyDescent="0.25">
      <c r="A47" t="s">
        <v>28</v>
      </c>
      <c r="E47" s="20">
        <v>304</v>
      </c>
      <c r="F47" s="20">
        <v>165</v>
      </c>
      <c r="G47" s="20">
        <v>136</v>
      </c>
      <c r="H47" s="20">
        <v>26</v>
      </c>
      <c r="I47" s="20">
        <v>9</v>
      </c>
      <c r="J47" s="20">
        <v>640</v>
      </c>
    </row>
  </sheetData>
  <mergeCells count="17">
    <mergeCell ref="N25:N27"/>
    <mergeCell ref="M25:M27"/>
    <mergeCell ref="W25:W27"/>
    <mergeCell ref="W18:W20"/>
    <mergeCell ref="W21:W23"/>
    <mergeCell ref="N6:N8"/>
    <mergeCell ref="N9:N11"/>
    <mergeCell ref="N12:N14"/>
    <mergeCell ref="N15:N17"/>
    <mergeCell ref="N18:N20"/>
    <mergeCell ref="N21:N23"/>
    <mergeCell ref="M3:M23"/>
    <mergeCell ref="W3:W5"/>
    <mergeCell ref="W6:W8"/>
    <mergeCell ref="W9:W11"/>
    <mergeCell ref="W12:W14"/>
    <mergeCell ref="W15:W17"/>
  </mergeCell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0509-0BE9-4230-AB97-9C4B20339F3E}">
  <sheetPr>
    <tabColor theme="8" tint="0.79998168889431442"/>
  </sheetPr>
  <dimension ref="A1:P203"/>
  <sheetViews>
    <sheetView zoomScaleNormal="100" workbookViewId="0">
      <selection activeCell="F17" sqref="F17"/>
    </sheetView>
  </sheetViews>
  <sheetFormatPr defaultRowHeight="15" x14ac:dyDescent="0.25"/>
  <cols>
    <col min="1" max="1" width="14.7109375" style="26" bestFit="1" customWidth="1"/>
    <col min="2" max="2" width="14.28515625" style="26" bestFit="1" customWidth="1"/>
    <col min="3" max="3" width="10" style="26" bestFit="1" customWidth="1"/>
    <col min="4" max="4" width="17.42578125" style="26" bestFit="1" customWidth="1"/>
    <col min="5" max="5" width="17" style="26" bestFit="1" customWidth="1"/>
    <col min="6" max="6" width="13.140625" style="26" bestFit="1" customWidth="1"/>
    <col min="7" max="7" width="14.28515625" style="26" bestFit="1" customWidth="1"/>
    <col min="8" max="8" width="15.85546875" style="26" bestFit="1" customWidth="1"/>
    <col min="9" max="9" width="11.5703125" style="26" bestFit="1" customWidth="1"/>
    <col min="10" max="10" width="10.42578125" style="26" bestFit="1" customWidth="1"/>
    <col min="11" max="11" width="12.28515625" style="26" bestFit="1" customWidth="1"/>
    <col min="12" max="12" width="12.140625" style="26" bestFit="1" customWidth="1"/>
    <col min="13" max="13" width="9.85546875" style="26" bestFit="1" customWidth="1"/>
    <col min="14" max="14" width="11" style="45" bestFit="1" customWidth="1"/>
    <col min="15" max="15" width="14.85546875" style="26" bestFit="1" customWidth="1"/>
    <col min="16" max="16" width="10.28515625" style="26" bestFit="1" customWidth="1"/>
    <col min="17" max="16384" width="9.140625" style="26"/>
  </cols>
  <sheetData>
    <row r="1" spans="1:16" x14ac:dyDescent="0.25">
      <c r="A1" s="27" t="s">
        <v>0</v>
      </c>
      <c r="B1" s="27" t="s">
        <v>1</v>
      </c>
      <c r="C1" s="28" t="s">
        <v>2</v>
      </c>
      <c r="D1" s="28" t="s">
        <v>32</v>
      </c>
      <c r="E1" s="27" t="s">
        <v>3</v>
      </c>
      <c r="F1" s="27" t="s">
        <v>4</v>
      </c>
      <c r="G1" s="27" t="s">
        <v>11</v>
      </c>
      <c r="H1" s="29" t="s">
        <v>5</v>
      </c>
      <c r="I1" s="27" t="s">
        <v>13</v>
      </c>
      <c r="J1" s="27" t="s">
        <v>14</v>
      </c>
      <c r="K1" s="27" t="s">
        <v>15</v>
      </c>
      <c r="L1" s="27" t="s">
        <v>16</v>
      </c>
      <c r="M1" s="27" t="s">
        <v>39</v>
      </c>
      <c r="N1" s="44" t="s">
        <v>40</v>
      </c>
      <c r="O1" s="27" t="s">
        <v>49</v>
      </c>
      <c r="P1" s="27" t="s">
        <v>10</v>
      </c>
    </row>
    <row r="2" spans="1:16" x14ac:dyDescent="0.25">
      <c r="A2" s="26" t="s">
        <v>136</v>
      </c>
      <c r="B2" s="26" t="s">
        <v>182</v>
      </c>
      <c r="C2" s="26">
        <v>901.13</v>
      </c>
      <c r="D2" s="26" t="s">
        <v>182</v>
      </c>
      <c r="E2" s="26" t="s">
        <v>19</v>
      </c>
      <c r="F2" s="25" t="s">
        <v>172</v>
      </c>
      <c r="G2" s="26" t="s">
        <v>186</v>
      </c>
      <c r="H2" s="25" t="s">
        <v>197</v>
      </c>
      <c r="I2" s="26" t="s">
        <v>224</v>
      </c>
      <c r="J2" s="30">
        <v>4200</v>
      </c>
      <c r="L2" s="26" t="s">
        <v>229</v>
      </c>
      <c r="M2" s="26">
        <v>110</v>
      </c>
      <c r="N2" s="45">
        <f>IF(J2&gt;M2, 1, 0)</f>
        <v>1</v>
      </c>
    </row>
    <row r="3" spans="1:16" x14ac:dyDescent="0.25">
      <c r="A3" s="26" t="s">
        <v>136</v>
      </c>
      <c r="B3" s="26" t="s">
        <v>182</v>
      </c>
      <c r="C3" s="26">
        <v>901.13</v>
      </c>
      <c r="D3" s="26" t="s">
        <v>182</v>
      </c>
      <c r="E3" s="26" t="s">
        <v>19</v>
      </c>
      <c r="F3" s="25" t="s">
        <v>187</v>
      </c>
      <c r="G3" s="26" t="s">
        <v>186</v>
      </c>
      <c r="H3" s="25" t="s">
        <v>198</v>
      </c>
      <c r="I3" s="26" t="s">
        <v>224</v>
      </c>
      <c r="J3" s="30">
        <v>10100</v>
      </c>
      <c r="L3" s="26" t="s">
        <v>229</v>
      </c>
      <c r="M3" s="26">
        <v>110</v>
      </c>
      <c r="N3" s="45">
        <f t="shared" ref="N3:N66" si="0">IF(J3&gt;M3, 1, 0)</f>
        <v>1</v>
      </c>
    </row>
    <row r="4" spans="1:16" x14ac:dyDescent="0.25">
      <c r="A4" s="26" t="s">
        <v>139</v>
      </c>
      <c r="B4" s="26" t="s">
        <v>182</v>
      </c>
      <c r="C4" s="26">
        <v>901.13</v>
      </c>
      <c r="D4" s="26" t="s">
        <v>182</v>
      </c>
      <c r="E4" s="26" t="s">
        <v>19</v>
      </c>
      <c r="F4" s="25" t="s">
        <v>188</v>
      </c>
      <c r="G4" s="26" t="s">
        <v>186</v>
      </c>
      <c r="H4" s="25" t="s">
        <v>199</v>
      </c>
      <c r="I4" s="26" t="s">
        <v>224</v>
      </c>
      <c r="J4" s="30">
        <v>8700</v>
      </c>
      <c r="L4" s="26" t="s">
        <v>229</v>
      </c>
      <c r="M4" s="26">
        <v>110</v>
      </c>
      <c r="N4" s="45">
        <f t="shared" si="0"/>
        <v>1</v>
      </c>
    </row>
    <row r="5" spans="1:16" x14ac:dyDescent="0.25">
      <c r="A5" s="26" t="s">
        <v>139</v>
      </c>
      <c r="B5" s="26" t="s">
        <v>182</v>
      </c>
      <c r="C5" s="26">
        <v>901.13</v>
      </c>
      <c r="D5" s="26" t="s">
        <v>182</v>
      </c>
      <c r="E5" s="26" t="s">
        <v>19</v>
      </c>
      <c r="F5" s="25" t="s">
        <v>189</v>
      </c>
      <c r="G5" s="26" t="s">
        <v>186</v>
      </c>
      <c r="H5" s="25" t="s">
        <v>200</v>
      </c>
      <c r="I5" s="26" t="s">
        <v>224</v>
      </c>
      <c r="J5" s="30">
        <v>530</v>
      </c>
      <c r="L5" s="26" t="s">
        <v>229</v>
      </c>
      <c r="M5" s="26">
        <v>110</v>
      </c>
      <c r="N5" s="45">
        <f t="shared" si="0"/>
        <v>1</v>
      </c>
    </row>
    <row r="6" spans="1:16" x14ac:dyDescent="0.25">
      <c r="A6" s="26" t="s">
        <v>139</v>
      </c>
      <c r="B6" s="26" t="s">
        <v>182</v>
      </c>
      <c r="C6" s="26">
        <v>901.13</v>
      </c>
      <c r="D6" s="26" t="s">
        <v>182</v>
      </c>
      <c r="E6" s="26" t="s">
        <v>19</v>
      </c>
      <c r="F6" s="25" t="s">
        <v>190</v>
      </c>
      <c r="G6" s="26" t="s">
        <v>186</v>
      </c>
      <c r="H6" s="25" t="s">
        <v>201</v>
      </c>
      <c r="I6" s="26" t="s">
        <v>224</v>
      </c>
      <c r="J6" s="30">
        <v>550</v>
      </c>
      <c r="L6" s="26" t="s">
        <v>229</v>
      </c>
      <c r="M6" s="26">
        <v>110</v>
      </c>
      <c r="N6" s="45">
        <f t="shared" si="0"/>
        <v>1</v>
      </c>
    </row>
    <row r="7" spans="1:16" x14ac:dyDescent="0.25">
      <c r="A7" s="26" t="s">
        <v>138</v>
      </c>
      <c r="B7" s="26" t="s">
        <v>182</v>
      </c>
      <c r="C7" s="26">
        <v>901.13</v>
      </c>
      <c r="D7" s="26" t="s">
        <v>182</v>
      </c>
      <c r="E7" s="26" t="s">
        <v>19</v>
      </c>
      <c r="F7" s="25" t="s">
        <v>191</v>
      </c>
      <c r="G7" s="26" t="s">
        <v>186</v>
      </c>
      <c r="H7" s="25" t="s">
        <v>202</v>
      </c>
      <c r="I7" s="26" t="s">
        <v>224</v>
      </c>
      <c r="J7" s="30">
        <v>2500</v>
      </c>
      <c r="L7" s="26" t="s">
        <v>229</v>
      </c>
      <c r="M7" s="26">
        <v>110</v>
      </c>
      <c r="N7" s="45">
        <f t="shared" si="0"/>
        <v>1</v>
      </c>
    </row>
    <row r="8" spans="1:16" x14ac:dyDescent="0.25">
      <c r="A8" s="26" t="s">
        <v>138</v>
      </c>
      <c r="B8" s="26" t="s">
        <v>182</v>
      </c>
      <c r="C8" s="26">
        <v>901.13</v>
      </c>
      <c r="D8" s="26" t="s">
        <v>182</v>
      </c>
      <c r="E8" s="26" t="s">
        <v>19</v>
      </c>
      <c r="F8" s="25" t="s">
        <v>192</v>
      </c>
      <c r="G8" s="26" t="s">
        <v>186</v>
      </c>
      <c r="H8" s="25" t="s">
        <v>203</v>
      </c>
      <c r="I8" s="26" t="s">
        <v>224</v>
      </c>
      <c r="J8" s="30">
        <v>21000</v>
      </c>
      <c r="L8" s="26" t="s">
        <v>229</v>
      </c>
      <c r="M8" s="26">
        <v>110</v>
      </c>
      <c r="N8" s="45">
        <f t="shared" si="0"/>
        <v>1</v>
      </c>
    </row>
    <row r="9" spans="1:16" x14ac:dyDescent="0.25">
      <c r="A9" s="26" t="s">
        <v>138</v>
      </c>
      <c r="B9" s="26" t="s">
        <v>182</v>
      </c>
      <c r="C9" s="26">
        <v>901.13</v>
      </c>
      <c r="D9" s="26" t="s">
        <v>182</v>
      </c>
      <c r="E9" s="26" t="s">
        <v>19</v>
      </c>
      <c r="F9" s="25" t="s">
        <v>193</v>
      </c>
      <c r="G9" s="26" t="s">
        <v>186</v>
      </c>
      <c r="H9" s="25" t="s">
        <v>204</v>
      </c>
      <c r="I9" s="26" t="s">
        <v>224</v>
      </c>
      <c r="J9" s="30">
        <v>4100</v>
      </c>
      <c r="L9" s="26" t="s">
        <v>229</v>
      </c>
      <c r="M9" s="26">
        <v>110</v>
      </c>
      <c r="N9" s="45">
        <f t="shared" si="0"/>
        <v>1</v>
      </c>
    </row>
    <row r="10" spans="1:16" x14ac:dyDescent="0.25">
      <c r="A10" s="26" t="s">
        <v>138</v>
      </c>
      <c r="B10" s="26" t="s">
        <v>182</v>
      </c>
      <c r="C10" s="26">
        <v>901.13</v>
      </c>
      <c r="E10" s="26" t="s">
        <v>19</v>
      </c>
      <c r="F10" s="25" t="s">
        <v>194</v>
      </c>
      <c r="G10" s="26" t="s">
        <v>186</v>
      </c>
      <c r="H10" s="25" t="s">
        <v>205</v>
      </c>
      <c r="I10" s="26" t="s">
        <v>224</v>
      </c>
      <c r="J10" s="30">
        <v>1100</v>
      </c>
      <c r="L10" s="26" t="s">
        <v>31</v>
      </c>
      <c r="M10" s="26">
        <v>110</v>
      </c>
      <c r="N10" s="45">
        <f t="shared" si="0"/>
        <v>1</v>
      </c>
    </row>
    <row r="11" spans="1:16" x14ac:dyDescent="0.25">
      <c r="A11" s="26" t="s">
        <v>138</v>
      </c>
      <c r="B11" s="26" t="s">
        <v>182</v>
      </c>
      <c r="C11" s="26">
        <v>901.13</v>
      </c>
      <c r="E11" s="26" t="s">
        <v>19</v>
      </c>
      <c r="F11" s="25" t="s">
        <v>195</v>
      </c>
      <c r="G11" s="26" t="s">
        <v>186</v>
      </c>
      <c r="H11" s="25" t="s">
        <v>206</v>
      </c>
      <c r="I11" s="26" t="s">
        <v>224</v>
      </c>
      <c r="J11" s="30">
        <v>260</v>
      </c>
      <c r="L11" s="26" t="s">
        <v>31</v>
      </c>
      <c r="M11" s="26">
        <v>110</v>
      </c>
      <c r="N11" s="45">
        <f t="shared" si="0"/>
        <v>1</v>
      </c>
    </row>
    <row r="12" spans="1:16" x14ac:dyDescent="0.25">
      <c r="A12" s="26" t="s">
        <v>138</v>
      </c>
      <c r="B12" s="26" t="s">
        <v>182</v>
      </c>
      <c r="C12" s="26">
        <v>901.13</v>
      </c>
      <c r="D12" s="26" t="s">
        <v>182</v>
      </c>
      <c r="E12" s="26" t="s">
        <v>19</v>
      </c>
      <c r="F12" s="25" t="s">
        <v>146</v>
      </c>
      <c r="G12" s="26" t="s">
        <v>186</v>
      </c>
      <c r="H12" s="25" t="s">
        <v>207</v>
      </c>
      <c r="I12" s="26" t="s">
        <v>224</v>
      </c>
      <c r="J12" s="30">
        <v>420</v>
      </c>
      <c r="L12" s="26" t="s">
        <v>31</v>
      </c>
      <c r="M12" s="26">
        <v>110</v>
      </c>
      <c r="N12" s="45">
        <f t="shared" si="0"/>
        <v>1</v>
      </c>
    </row>
    <row r="13" spans="1:16" x14ac:dyDescent="0.25">
      <c r="A13" s="26" t="s">
        <v>110</v>
      </c>
      <c r="B13" s="26" t="s">
        <v>108</v>
      </c>
      <c r="C13" s="26">
        <v>901.27</v>
      </c>
      <c r="D13" s="26" t="s">
        <v>135</v>
      </c>
      <c r="E13" s="26" t="s">
        <v>19</v>
      </c>
      <c r="F13" s="25" t="s">
        <v>98</v>
      </c>
      <c r="G13" s="26" t="s">
        <v>186</v>
      </c>
      <c r="H13" s="25" t="s">
        <v>208</v>
      </c>
      <c r="I13" s="26" t="s">
        <v>224</v>
      </c>
      <c r="J13" s="30">
        <v>2600</v>
      </c>
      <c r="L13" s="26" t="s">
        <v>229</v>
      </c>
      <c r="M13" s="26">
        <v>110</v>
      </c>
      <c r="N13" s="45">
        <f t="shared" si="0"/>
        <v>1</v>
      </c>
    </row>
    <row r="14" spans="1:16" x14ac:dyDescent="0.25">
      <c r="A14" s="26" t="s">
        <v>110</v>
      </c>
      <c r="B14" s="26" t="s">
        <v>108</v>
      </c>
      <c r="C14" s="26">
        <v>901.27</v>
      </c>
      <c r="D14" s="26" t="s">
        <v>135</v>
      </c>
      <c r="E14" s="26" t="s">
        <v>19</v>
      </c>
      <c r="F14" s="25" t="s">
        <v>196</v>
      </c>
      <c r="G14" s="26" t="s">
        <v>186</v>
      </c>
      <c r="H14" s="25" t="s">
        <v>209</v>
      </c>
      <c r="I14" s="26" t="s">
        <v>224</v>
      </c>
      <c r="J14" s="30">
        <v>11300</v>
      </c>
      <c r="L14" s="26" t="s">
        <v>229</v>
      </c>
      <c r="M14" s="26">
        <v>110</v>
      </c>
      <c r="N14" s="45">
        <f t="shared" si="0"/>
        <v>1</v>
      </c>
    </row>
    <row r="15" spans="1:16" x14ac:dyDescent="0.25">
      <c r="A15" s="26" t="s">
        <v>139</v>
      </c>
      <c r="B15" s="26" t="s">
        <v>182</v>
      </c>
      <c r="C15" s="26">
        <v>901.13</v>
      </c>
      <c r="D15" s="26" t="s">
        <v>182</v>
      </c>
      <c r="E15" s="26" t="s">
        <v>19</v>
      </c>
      <c r="F15" s="25" t="s">
        <v>189</v>
      </c>
      <c r="G15" s="26" t="s">
        <v>186</v>
      </c>
      <c r="H15" s="25" t="s">
        <v>210</v>
      </c>
      <c r="I15" s="26" t="s">
        <v>224</v>
      </c>
      <c r="J15" s="30">
        <v>7900</v>
      </c>
      <c r="L15" s="26" t="s">
        <v>229</v>
      </c>
      <c r="M15" s="26">
        <v>110</v>
      </c>
      <c r="N15" s="45">
        <f t="shared" si="0"/>
        <v>1</v>
      </c>
    </row>
    <row r="16" spans="1:16" x14ac:dyDescent="0.25">
      <c r="A16" s="26" t="s">
        <v>136</v>
      </c>
      <c r="B16" s="26" t="s">
        <v>182</v>
      </c>
      <c r="C16" s="26">
        <v>901.13</v>
      </c>
      <c r="D16" s="26" t="s">
        <v>182</v>
      </c>
      <c r="E16" s="26" t="s">
        <v>19</v>
      </c>
      <c r="F16" s="25" t="s">
        <v>187</v>
      </c>
      <c r="G16" s="26" t="s">
        <v>186</v>
      </c>
      <c r="H16" s="25" t="s">
        <v>211</v>
      </c>
      <c r="I16" s="26" t="s">
        <v>224</v>
      </c>
      <c r="J16" s="30">
        <v>26000</v>
      </c>
      <c r="L16" s="26" t="s">
        <v>229</v>
      </c>
      <c r="M16" s="26">
        <v>110</v>
      </c>
      <c r="N16" s="45">
        <f t="shared" si="0"/>
        <v>1</v>
      </c>
    </row>
    <row r="17" spans="1:14" x14ac:dyDescent="0.25">
      <c r="A17" s="26" t="s">
        <v>139</v>
      </c>
      <c r="B17" s="26" t="s">
        <v>182</v>
      </c>
      <c r="C17" s="26">
        <v>901.13</v>
      </c>
      <c r="D17" s="26" t="s">
        <v>182</v>
      </c>
      <c r="E17" s="26" t="s">
        <v>19</v>
      </c>
      <c r="F17" s="25" t="s">
        <v>190</v>
      </c>
      <c r="G17" s="26" t="s">
        <v>186</v>
      </c>
      <c r="H17" s="25" t="s">
        <v>212</v>
      </c>
      <c r="I17" s="26" t="s">
        <v>224</v>
      </c>
      <c r="J17" s="30">
        <v>50</v>
      </c>
      <c r="L17" s="26" t="s">
        <v>229</v>
      </c>
      <c r="M17" s="26">
        <v>110</v>
      </c>
      <c r="N17" s="45">
        <f t="shared" si="0"/>
        <v>0</v>
      </c>
    </row>
    <row r="18" spans="1:14" x14ac:dyDescent="0.25">
      <c r="A18" s="26" t="s">
        <v>140</v>
      </c>
      <c r="B18" s="26" t="s">
        <v>182</v>
      </c>
      <c r="C18" s="26">
        <v>901.13</v>
      </c>
      <c r="D18" s="26" t="s">
        <v>182</v>
      </c>
      <c r="E18" s="26" t="s">
        <v>19</v>
      </c>
      <c r="F18" s="25" t="s">
        <v>177</v>
      </c>
      <c r="G18" s="26" t="s">
        <v>186</v>
      </c>
      <c r="H18" s="25" t="s">
        <v>213</v>
      </c>
      <c r="I18" s="26" t="s">
        <v>224</v>
      </c>
      <c r="J18" s="30">
        <v>330</v>
      </c>
      <c r="L18" s="26" t="s">
        <v>229</v>
      </c>
      <c r="M18" s="26">
        <v>110</v>
      </c>
      <c r="N18" s="45">
        <f t="shared" si="0"/>
        <v>1</v>
      </c>
    </row>
    <row r="19" spans="1:14" x14ac:dyDescent="0.25">
      <c r="A19" s="26" t="s">
        <v>139</v>
      </c>
      <c r="B19" s="26" t="s">
        <v>182</v>
      </c>
      <c r="C19" s="26">
        <v>901.13</v>
      </c>
      <c r="D19" s="26" t="s">
        <v>182</v>
      </c>
      <c r="E19" s="26" t="s">
        <v>19</v>
      </c>
      <c r="F19" s="25" t="s">
        <v>188</v>
      </c>
      <c r="G19" s="26" t="s">
        <v>186</v>
      </c>
      <c r="H19" s="25" t="s">
        <v>214</v>
      </c>
      <c r="I19" s="26" t="s">
        <v>224</v>
      </c>
      <c r="J19" s="30">
        <v>960</v>
      </c>
      <c r="L19" s="26" t="s">
        <v>229</v>
      </c>
      <c r="M19" s="26">
        <v>110</v>
      </c>
      <c r="N19" s="45">
        <f t="shared" si="0"/>
        <v>1</v>
      </c>
    </row>
    <row r="20" spans="1:14" x14ac:dyDescent="0.25">
      <c r="A20" s="26" t="s">
        <v>138</v>
      </c>
      <c r="B20" s="26" t="s">
        <v>182</v>
      </c>
      <c r="C20" s="26">
        <v>901.13</v>
      </c>
      <c r="E20" s="26" t="s">
        <v>19</v>
      </c>
      <c r="F20" s="25" t="s">
        <v>195</v>
      </c>
      <c r="G20" s="26" t="s">
        <v>186</v>
      </c>
      <c r="H20" s="25" t="s">
        <v>215</v>
      </c>
      <c r="I20" s="26" t="s">
        <v>224</v>
      </c>
      <c r="J20" s="30">
        <v>640000</v>
      </c>
      <c r="L20" s="26" t="s">
        <v>229</v>
      </c>
      <c r="M20" s="26">
        <v>110</v>
      </c>
      <c r="N20" s="45">
        <f t="shared" si="0"/>
        <v>1</v>
      </c>
    </row>
    <row r="21" spans="1:14" x14ac:dyDescent="0.25">
      <c r="A21" s="26" t="s">
        <v>138</v>
      </c>
      <c r="B21" s="26" t="s">
        <v>182</v>
      </c>
      <c r="C21" s="26">
        <v>901.13</v>
      </c>
      <c r="E21" s="26" t="s">
        <v>19</v>
      </c>
      <c r="F21" s="25" t="s">
        <v>194</v>
      </c>
      <c r="G21" s="26" t="s">
        <v>186</v>
      </c>
      <c r="H21" s="25" t="s">
        <v>216</v>
      </c>
      <c r="I21" s="26" t="s">
        <v>224</v>
      </c>
      <c r="J21" s="30">
        <v>8800</v>
      </c>
      <c r="L21" s="26" t="s">
        <v>229</v>
      </c>
      <c r="M21" s="26">
        <v>110</v>
      </c>
      <c r="N21" s="45">
        <f t="shared" si="0"/>
        <v>1</v>
      </c>
    </row>
    <row r="22" spans="1:14" x14ac:dyDescent="0.25">
      <c r="A22" s="26" t="s">
        <v>138</v>
      </c>
      <c r="B22" s="26" t="s">
        <v>182</v>
      </c>
      <c r="C22" s="26">
        <v>901.13</v>
      </c>
      <c r="D22" s="26" t="s">
        <v>182</v>
      </c>
      <c r="E22" s="26" t="s">
        <v>19</v>
      </c>
      <c r="F22" s="25" t="s">
        <v>146</v>
      </c>
      <c r="G22" s="26" t="s">
        <v>186</v>
      </c>
      <c r="H22" s="25" t="s">
        <v>217</v>
      </c>
      <c r="I22" s="26" t="s">
        <v>224</v>
      </c>
      <c r="J22" s="30">
        <v>30000</v>
      </c>
      <c r="L22" s="26" t="s">
        <v>229</v>
      </c>
      <c r="M22" s="26">
        <v>110</v>
      </c>
      <c r="N22" s="45">
        <f t="shared" si="0"/>
        <v>1</v>
      </c>
    </row>
    <row r="23" spans="1:14" x14ac:dyDescent="0.25">
      <c r="A23" s="26" t="s">
        <v>110</v>
      </c>
      <c r="B23" s="26" t="s">
        <v>108</v>
      </c>
      <c r="C23" s="26">
        <v>901.27</v>
      </c>
      <c r="D23" s="26" t="s">
        <v>135</v>
      </c>
      <c r="E23" s="26" t="s">
        <v>19</v>
      </c>
      <c r="F23" s="25" t="s">
        <v>98</v>
      </c>
      <c r="G23" s="26" t="s">
        <v>186</v>
      </c>
      <c r="H23" s="25" t="s">
        <v>218</v>
      </c>
      <c r="I23" s="26" t="s">
        <v>224</v>
      </c>
      <c r="J23" s="30">
        <v>1760</v>
      </c>
      <c r="L23" s="26" t="s">
        <v>229</v>
      </c>
      <c r="M23" s="26">
        <v>110</v>
      </c>
      <c r="N23" s="45">
        <f t="shared" si="0"/>
        <v>1</v>
      </c>
    </row>
    <row r="24" spans="1:14" x14ac:dyDescent="0.25">
      <c r="A24" s="26" t="s">
        <v>110</v>
      </c>
      <c r="B24" s="26" t="s">
        <v>108</v>
      </c>
      <c r="C24" s="26">
        <v>901.27</v>
      </c>
      <c r="D24" s="26" t="s">
        <v>135</v>
      </c>
      <c r="E24" s="26" t="s">
        <v>19</v>
      </c>
      <c r="F24" s="25" t="s">
        <v>196</v>
      </c>
      <c r="G24" s="26" t="s">
        <v>186</v>
      </c>
      <c r="H24" s="25" t="s">
        <v>219</v>
      </c>
      <c r="I24" s="26" t="s">
        <v>224</v>
      </c>
      <c r="J24" s="30">
        <v>2200</v>
      </c>
      <c r="L24" s="26" t="s">
        <v>229</v>
      </c>
      <c r="M24" s="26">
        <v>110</v>
      </c>
      <c r="N24" s="45">
        <f t="shared" si="0"/>
        <v>1</v>
      </c>
    </row>
    <row r="25" spans="1:14" x14ac:dyDescent="0.25">
      <c r="A25" s="26" t="s">
        <v>138</v>
      </c>
      <c r="B25" s="26" t="s">
        <v>182</v>
      </c>
      <c r="C25" s="26">
        <v>901.13</v>
      </c>
      <c r="D25" s="26" t="s">
        <v>182</v>
      </c>
      <c r="E25" s="26" t="s">
        <v>19</v>
      </c>
      <c r="F25" s="25" t="s">
        <v>191</v>
      </c>
      <c r="G25" s="26" t="s">
        <v>186</v>
      </c>
      <c r="H25" s="25" t="s">
        <v>220</v>
      </c>
      <c r="I25" s="26" t="s">
        <v>224</v>
      </c>
      <c r="J25" s="30">
        <v>13600</v>
      </c>
      <c r="L25" s="26" t="s">
        <v>229</v>
      </c>
      <c r="M25" s="26">
        <v>110</v>
      </c>
      <c r="N25" s="45">
        <f t="shared" si="0"/>
        <v>1</v>
      </c>
    </row>
    <row r="26" spans="1:14" x14ac:dyDescent="0.25">
      <c r="A26" s="26" t="s">
        <v>138</v>
      </c>
      <c r="B26" s="26" t="s">
        <v>182</v>
      </c>
      <c r="C26" s="26">
        <v>901.13</v>
      </c>
      <c r="D26" s="26" t="s">
        <v>182</v>
      </c>
      <c r="E26" s="26" t="s">
        <v>19</v>
      </c>
      <c r="F26" s="25" t="s">
        <v>193</v>
      </c>
      <c r="G26" s="26" t="s">
        <v>186</v>
      </c>
      <c r="H26" s="25" t="s">
        <v>221</v>
      </c>
      <c r="I26" s="26" t="s">
        <v>224</v>
      </c>
      <c r="J26" s="30">
        <v>5500</v>
      </c>
      <c r="L26" s="26" t="s">
        <v>229</v>
      </c>
      <c r="M26" s="26">
        <v>110</v>
      </c>
      <c r="N26" s="45">
        <f t="shared" si="0"/>
        <v>1</v>
      </c>
    </row>
    <row r="27" spans="1:14" x14ac:dyDescent="0.25">
      <c r="A27" s="26" t="s">
        <v>138</v>
      </c>
      <c r="B27" s="26" t="s">
        <v>182</v>
      </c>
      <c r="C27" s="26">
        <v>901.13</v>
      </c>
      <c r="D27" s="26" t="s">
        <v>182</v>
      </c>
      <c r="E27" s="26" t="s">
        <v>19</v>
      </c>
      <c r="F27" s="25" t="s">
        <v>146</v>
      </c>
      <c r="G27" s="26" t="s">
        <v>186</v>
      </c>
      <c r="H27" s="25" t="s">
        <v>222</v>
      </c>
      <c r="I27" s="26" t="s">
        <v>224</v>
      </c>
      <c r="J27" s="30">
        <v>2200</v>
      </c>
      <c r="L27" s="26" t="s">
        <v>229</v>
      </c>
      <c r="M27" s="26">
        <v>110</v>
      </c>
      <c r="N27" s="45">
        <f t="shared" si="0"/>
        <v>1</v>
      </c>
    </row>
    <row r="28" spans="1:14" x14ac:dyDescent="0.25">
      <c r="A28" s="26" t="s">
        <v>138</v>
      </c>
      <c r="B28" s="26" t="s">
        <v>182</v>
      </c>
      <c r="C28" s="26">
        <v>901.13</v>
      </c>
      <c r="D28" s="26" t="s">
        <v>182</v>
      </c>
      <c r="E28" s="26" t="s">
        <v>19</v>
      </c>
      <c r="F28" s="31" t="s">
        <v>192</v>
      </c>
      <c r="G28" s="26" t="s">
        <v>186</v>
      </c>
      <c r="H28" s="32" t="s">
        <v>223</v>
      </c>
      <c r="I28" s="26" t="s">
        <v>224</v>
      </c>
      <c r="J28" s="30">
        <v>5400</v>
      </c>
      <c r="L28" s="26" t="s">
        <v>229</v>
      </c>
      <c r="M28" s="26">
        <v>110</v>
      </c>
      <c r="N28" s="45">
        <f t="shared" si="0"/>
        <v>1</v>
      </c>
    </row>
    <row r="29" spans="1:14" x14ac:dyDescent="0.25">
      <c r="A29" s="26" t="s">
        <v>136</v>
      </c>
      <c r="B29" s="26" t="s">
        <v>182</v>
      </c>
      <c r="C29" s="26">
        <v>901.13</v>
      </c>
      <c r="D29" s="26" t="s">
        <v>182</v>
      </c>
      <c r="E29" s="26" t="s">
        <v>19</v>
      </c>
      <c r="F29" s="25" t="s">
        <v>172</v>
      </c>
      <c r="G29" s="26" t="s">
        <v>186</v>
      </c>
      <c r="H29" s="25" t="s">
        <v>197</v>
      </c>
      <c r="I29" s="25" t="s">
        <v>225</v>
      </c>
      <c r="J29" s="33">
        <v>130</v>
      </c>
      <c r="L29" s="26" t="s">
        <v>229</v>
      </c>
      <c r="M29" s="26">
        <v>400</v>
      </c>
      <c r="N29" s="45">
        <f t="shared" si="0"/>
        <v>0</v>
      </c>
    </row>
    <row r="30" spans="1:14" x14ac:dyDescent="0.25">
      <c r="A30" s="26" t="s">
        <v>136</v>
      </c>
      <c r="B30" s="26" t="s">
        <v>182</v>
      </c>
      <c r="C30" s="26">
        <v>901.13</v>
      </c>
      <c r="D30" s="26" t="s">
        <v>182</v>
      </c>
      <c r="E30" s="26" t="s">
        <v>19</v>
      </c>
      <c r="F30" s="25" t="s">
        <v>187</v>
      </c>
      <c r="G30" s="26" t="s">
        <v>186</v>
      </c>
      <c r="H30" s="25" t="s">
        <v>198</v>
      </c>
      <c r="I30" s="25" t="s">
        <v>225</v>
      </c>
      <c r="J30" s="33">
        <v>2300</v>
      </c>
      <c r="L30" s="26" t="s">
        <v>229</v>
      </c>
      <c r="M30" s="26">
        <v>400</v>
      </c>
      <c r="N30" s="45">
        <f t="shared" si="0"/>
        <v>1</v>
      </c>
    </row>
    <row r="31" spans="1:14" x14ac:dyDescent="0.25">
      <c r="A31" s="26" t="s">
        <v>139</v>
      </c>
      <c r="B31" s="26" t="s">
        <v>182</v>
      </c>
      <c r="C31" s="26">
        <v>901.13</v>
      </c>
      <c r="D31" s="26" t="s">
        <v>182</v>
      </c>
      <c r="E31" s="26" t="s">
        <v>19</v>
      </c>
      <c r="F31" s="25" t="s">
        <v>188</v>
      </c>
      <c r="G31" s="26" t="s">
        <v>186</v>
      </c>
      <c r="H31" s="25" t="s">
        <v>199</v>
      </c>
      <c r="I31" s="25" t="s">
        <v>225</v>
      </c>
      <c r="J31" s="33">
        <v>450</v>
      </c>
      <c r="L31" s="26" t="s">
        <v>229</v>
      </c>
      <c r="M31" s="26">
        <v>400</v>
      </c>
      <c r="N31" s="45">
        <f t="shared" si="0"/>
        <v>1</v>
      </c>
    </row>
    <row r="32" spans="1:14" x14ac:dyDescent="0.25">
      <c r="A32" s="26" t="s">
        <v>139</v>
      </c>
      <c r="B32" s="26" t="s">
        <v>182</v>
      </c>
      <c r="C32" s="26">
        <v>901.13</v>
      </c>
      <c r="D32" s="26" t="s">
        <v>182</v>
      </c>
      <c r="E32" s="26" t="s">
        <v>19</v>
      </c>
      <c r="F32" s="25" t="s">
        <v>189</v>
      </c>
      <c r="G32" s="26" t="s">
        <v>186</v>
      </c>
      <c r="H32" s="25" t="s">
        <v>200</v>
      </c>
      <c r="I32" s="25" t="s">
        <v>225</v>
      </c>
      <c r="J32" s="33">
        <v>220</v>
      </c>
      <c r="L32" s="26" t="s">
        <v>229</v>
      </c>
      <c r="M32" s="26">
        <v>400</v>
      </c>
      <c r="N32" s="45">
        <f t="shared" si="0"/>
        <v>0</v>
      </c>
    </row>
    <row r="33" spans="1:14" x14ac:dyDescent="0.25">
      <c r="A33" s="26" t="s">
        <v>139</v>
      </c>
      <c r="B33" s="26" t="s">
        <v>182</v>
      </c>
      <c r="C33" s="26">
        <v>901.13</v>
      </c>
      <c r="D33" s="26" t="s">
        <v>182</v>
      </c>
      <c r="E33" s="26" t="s">
        <v>19</v>
      </c>
      <c r="F33" s="25" t="s">
        <v>190</v>
      </c>
      <c r="G33" s="26" t="s">
        <v>186</v>
      </c>
      <c r="H33" s="25" t="s">
        <v>201</v>
      </c>
      <c r="I33" s="25" t="s">
        <v>225</v>
      </c>
      <c r="J33" s="33">
        <v>300</v>
      </c>
      <c r="L33" s="26" t="s">
        <v>229</v>
      </c>
      <c r="M33" s="26">
        <v>400</v>
      </c>
      <c r="N33" s="45">
        <f t="shared" si="0"/>
        <v>0</v>
      </c>
    </row>
    <row r="34" spans="1:14" x14ac:dyDescent="0.25">
      <c r="A34" s="26" t="s">
        <v>138</v>
      </c>
      <c r="B34" s="26" t="s">
        <v>182</v>
      </c>
      <c r="C34" s="26">
        <v>901.13</v>
      </c>
      <c r="D34" s="26" t="s">
        <v>182</v>
      </c>
      <c r="E34" s="26" t="s">
        <v>19</v>
      </c>
      <c r="F34" s="25" t="s">
        <v>191</v>
      </c>
      <c r="G34" s="26" t="s">
        <v>186</v>
      </c>
      <c r="H34" s="25" t="s">
        <v>202</v>
      </c>
      <c r="I34" s="25" t="s">
        <v>225</v>
      </c>
      <c r="J34" s="33">
        <v>2300</v>
      </c>
      <c r="L34" s="26" t="s">
        <v>229</v>
      </c>
      <c r="M34" s="26">
        <v>400</v>
      </c>
      <c r="N34" s="45">
        <f t="shared" si="0"/>
        <v>1</v>
      </c>
    </row>
    <row r="35" spans="1:14" x14ac:dyDescent="0.25">
      <c r="A35" s="26" t="s">
        <v>138</v>
      </c>
      <c r="B35" s="26" t="s">
        <v>182</v>
      </c>
      <c r="C35" s="26">
        <v>901.13</v>
      </c>
      <c r="D35" s="26" t="s">
        <v>182</v>
      </c>
      <c r="E35" s="26" t="s">
        <v>19</v>
      </c>
      <c r="F35" s="25" t="s">
        <v>192</v>
      </c>
      <c r="G35" s="26" t="s">
        <v>186</v>
      </c>
      <c r="H35" s="25" t="s">
        <v>203</v>
      </c>
      <c r="I35" s="25" t="s">
        <v>225</v>
      </c>
      <c r="J35" s="33">
        <v>4300</v>
      </c>
      <c r="L35" s="26" t="s">
        <v>229</v>
      </c>
      <c r="M35" s="26">
        <v>400</v>
      </c>
      <c r="N35" s="45">
        <f t="shared" si="0"/>
        <v>1</v>
      </c>
    </row>
    <row r="36" spans="1:14" x14ac:dyDescent="0.25">
      <c r="A36" s="26" t="s">
        <v>138</v>
      </c>
      <c r="B36" s="26" t="s">
        <v>182</v>
      </c>
      <c r="C36" s="26">
        <v>901.13</v>
      </c>
      <c r="D36" s="26" t="s">
        <v>182</v>
      </c>
      <c r="E36" s="26" t="s">
        <v>19</v>
      </c>
      <c r="F36" s="25" t="s">
        <v>193</v>
      </c>
      <c r="G36" s="26" t="s">
        <v>186</v>
      </c>
      <c r="H36" s="25" t="s">
        <v>204</v>
      </c>
      <c r="I36" s="25" t="s">
        <v>225</v>
      </c>
      <c r="J36" s="33">
        <v>700</v>
      </c>
      <c r="L36" s="26" t="s">
        <v>229</v>
      </c>
      <c r="M36" s="26">
        <v>400</v>
      </c>
      <c r="N36" s="45">
        <f t="shared" si="0"/>
        <v>1</v>
      </c>
    </row>
    <row r="37" spans="1:14" x14ac:dyDescent="0.25">
      <c r="A37" s="26" t="s">
        <v>138</v>
      </c>
      <c r="B37" s="26" t="s">
        <v>182</v>
      </c>
      <c r="C37" s="26">
        <v>901.13</v>
      </c>
      <c r="E37" s="26" t="s">
        <v>19</v>
      </c>
      <c r="F37" s="25" t="s">
        <v>194</v>
      </c>
      <c r="G37" s="26" t="s">
        <v>186</v>
      </c>
      <c r="H37" s="25" t="s">
        <v>205</v>
      </c>
      <c r="I37" s="25" t="s">
        <v>225</v>
      </c>
      <c r="J37" s="26" t="s">
        <v>226</v>
      </c>
      <c r="K37" s="26" t="s">
        <v>230</v>
      </c>
      <c r="L37" s="26" t="s">
        <v>31</v>
      </c>
      <c r="M37" s="26">
        <v>400</v>
      </c>
      <c r="N37" s="45">
        <f t="shared" si="0"/>
        <v>1</v>
      </c>
    </row>
    <row r="38" spans="1:14" x14ac:dyDescent="0.25">
      <c r="A38" s="26" t="s">
        <v>138</v>
      </c>
      <c r="B38" s="26" t="s">
        <v>182</v>
      </c>
      <c r="C38" s="26">
        <v>901.13</v>
      </c>
      <c r="E38" s="26" t="s">
        <v>19</v>
      </c>
      <c r="F38" s="25" t="s">
        <v>195</v>
      </c>
      <c r="G38" s="26" t="s">
        <v>186</v>
      </c>
      <c r="H38" s="25" t="s">
        <v>206</v>
      </c>
      <c r="I38" s="25" t="s">
        <v>225</v>
      </c>
      <c r="J38" s="33">
        <v>51</v>
      </c>
      <c r="L38" s="26" t="s">
        <v>31</v>
      </c>
      <c r="M38" s="26">
        <v>400</v>
      </c>
      <c r="N38" s="45">
        <f t="shared" si="0"/>
        <v>0</v>
      </c>
    </row>
    <row r="39" spans="1:14" x14ac:dyDescent="0.25">
      <c r="A39" s="26" t="s">
        <v>138</v>
      </c>
      <c r="B39" s="26" t="s">
        <v>182</v>
      </c>
      <c r="C39" s="26">
        <v>901.13</v>
      </c>
      <c r="D39" s="26" t="s">
        <v>182</v>
      </c>
      <c r="E39" s="26" t="s">
        <v>19</v>
      </c>
      <c r="F39" s="25" t="s">
        <v>146</v>
      </c>
      <c r="G39" s="26" t="s">
        <v>186</v>
      </c>
      <c r="H39" s="25" t="s">
        <v>207</v>
      </c>
      <c r="I39" s="25" t="s">
        <v>225</v>
      </c>
      <c r="J39" s="33">
        <v>180</v>
      </c>
      <c r="L39" s="26" t="s">
        <v>31</v>
      </c>
      <c r="M39" s="26">
        <v>400</v>
      </c>
      <c r="N39" s="45">
        <f t="shared" si="0"/>
        <v>0</v>
      </c>
    </row>
    <row r="40" spans="1:14" x14ac:dyDescent="0.25">
      <c r="A40" s="26" t="s">
        <v>110</v>
      </c>
      <c r="B40" s="26" t="s">
        <v>108</v>
      </c>
      <c r="C40" s="26">
        <v>901.27</v>
      </c>
      <c r="D40" s="26" t="s">
        <v>135</v>
      </c>
      <c r="E40" s="26" t="s">
        <v>19</v>
      </c>
      <c r="F40" s="25" t="s">
        <v>98</v>
      </c>
      <c r="G40" s="26" t="s">
        <v>186</v>
      </c>
      <c r="H40" s="25" t="s">
        <v>208</v>
      </c>
      <c r="I40" s="25" t="s">
        <v>225</v>
      </c>
      <c r="J40" s="33">
        <v>16000</v>
      </c>
      <c r="L40" s="26" t="s">
        <v>229</v>
      </c>
      <c r="M40" s="26">
        <v>400</v>
      </c>
      <c r="N40" s="45">
        <f t="shared" si="0"/>
        <v>1</v>
      </c>
    </row>
    <row r="41" spans="1:14" x14ac:dyDescent="0.25">
      <c r="A41" s="26" t="s">
        <v>110</v>
      </c>
      <c r="B41" s="26" t="s">
        <v>108</v>
      </c>
      <c r="C41" s="26">
        <v>901.27</v>
      </c>
      <c r="D41" s="26" t="s">
        <v>135</v>
      </c>
      <c r="E41" s="26" t="s">
        <v>19</v>
      </c>
      <c r="F41" s="25" t="s">
        <v>196</v>
      </c>
      <c r="G41" s="26" t="s">
        <v>186</v>
      </c>
      <c r="H41" s="25" t="s">
        <v>209</v>
      </c>
      <c r="I41" s="25" t="s">
        <v>225</v>
      </c>
      <c r="J41" s="26">
        <v>1150</v>
      </c>
      <c r="K41" s="26" t="s">
        <v>231</v>
      </c>
      <c r="L41" s="26" t="s">
        <v>229</v>
      </c>
      <c r="M41" s="26">
        <v>400</v>
      </c>
      <c r="N41" s="45">
        <f t="shared" si="0"/>
        <v>1</v>
      </c>
    </row>
    <row r="42" spans="1:14" x14ac:dyDescent="0.25">
      <c r="A42" s="26" t="s">
        <v>139</v>
      </c>
      <c r="B42" s="26" t="s">
        <v>182</v>
      </c>
      <c r="C42" s="26">
        <v>901.13</v>
      </c>
      <c r="D42" s="26" t="s">
        <v>182</v>
      </c>
      <c r="E42" s="26" t="s">
        <v>19</v>
      </c>
      <c r="F42" s="25" t="s">
        <v>189</v>
      </c>
      <c r="G42" s="26" t="s">
        <v>186</v>
      </c>
      <c r="H42" s="25" t="s">
        <v>210</v>
      </c>
      <c r="I42" s="25" t="s">
        <v>225</v>
      </c>
      <c r="J42" s="33">
        <v>68000</v>
      </c>
      <c r="L42" s="26" t="s">
        <v>229</v>
      </c>
      <c r="M42" s="26">
        <v>400</v>
      </c>
      <c r="N42" s="45">
        <f t="shared" si="0"/>
        <v>1</v>
      </c>
    </row>
    <row r="43" spans="1:14" x14ac:dyDescent="0.25">
      <c r="A43" s="26" t="s">
        <v>136</v>
      </c>
      <c r="B43" s="26" t="s">
        <v>182</v>
      </c>
      <c r="C43" s="26">
        <v>901.13</v>
      </c>
      <c r="D43" s="26" t="s">
        <v>182</v>
      </c>
      <c r="E43" s="26" t="s">
        <v>19</v>
      </c>
      <c r="F43" s="25" t="s">
        <v>187</v>
      </c>
      <c r="G43" s="26" t="s">
        <v>186</v>
      </c>
      <c r="H43" s="25" t="s">
        <v>211</v>
      </c>
      <c r="I43" s="25" t="s">
        <v>225</v>
      </c>
      <c r="J43" s="26">
        <v>13000</v>
      </c>
      <c r="K43" s="26" t="s">
        <v>231</v>
      </c>
      <c r="L43" s="26" t="s">
        <v>229</v>
      </c>
      <c r="M43" s="26">
        <v>400</v>
      </c>
      <c r="N43" s="45">
        <f t="shared" si="0"/>
        <v>1</v>
      </c>
    </row>
    <row r="44" spans="1:14" x14ac:dyDescent="0.25">
      <c r="A44" s="26" t="s">
        <v>139</v>
      </c>
      <c r="B44" s="26" t="s">
        <v>182</v>
      </c>
      <c r="C44" s="26">
        <v>901.13</v>
      </c>
      <c r="D44" s="26" t="s">
        <v>182</v>
      </c>
      <c r="E44" s="26" t="s">
        <v>19</v>
      </c>
      <c r="F44" s="25" t="s">
        <v>190</v>
      </c>
      <c r="G44" s="26" t="s">
        <v>186</v>
      </c>
      <c r="H44" s="25" t="s">
        <v>212</v>
      </c>
      <c r="I44" s="25" t="s">
        <v>225</v>
      </c>
      <c r="J44" s="33">
        <v>9</v>
      </c>
      <c r="L44" s="26" t="s">
        <v>229</v>
      </c>
      <c r="M44" s="26">
        <v>400</v>
      </c>
      <c r="N44" s="45">
        <f t="shared" si="0"/>
        <v>0</v>
      </c>
    </row>
    <row r="45" spans="1:14" x14ac:dyDescent="0.25">
      <c r="A45" s="26" t="s">
        <v>140</v>
      </c>
      <c r="B45" s="26" t="s">
        <v>182</v>
      </c>
      <c r="C45" s="26">
        <v>901.13</v>
      </c>
      <c r="D45" s="26" t="s">
        <v>182</v>
      </c>
      <c r="E45" s="26" t="s">
        <v>19</v>
      </c>
      <c r="F45" s="25" t="s">
        <v>177</v>
      </c>
      <c r="G45" s="26" t="s">
        <v>186</v>
      </c>
      <c r="H45" s="25" t="s">
        <v>213</v>
      </c>
      <c r="I45" s="25" t="s">
        <v>225</v>
      </c>
      <c r="J45" s="33">
        <v>9</v>
      </c>
      <c r="L45" s="26" t="s">
        <v>229</v>
      </c>
      <c r="M45" s="26">
        <v>400</v>
      </c>
      <c r="N45" s="45">
        <f t="shared" si="0"/>
        <v>0</v>
      </c>
    </row>
    <row r="46" spans="1:14" x14ac:dyDescent="0.25">
      <c r="A46" s="26" t="s">
        <v>139</v>
      </c>
      <c r="B46" s="26" t="s">
        <v>182</v>
      </c>
      <c r="C46" s="26">
        <v>901.13</v>
      </c>
      <c r="D46" s="26" t="s">
        <v>182</v>
      </c>
      <c r="E46" s="26" t="s">
        <v>19</v>
      </c>
      <c r="F46" s="25" t="s">
        <v>188</v>
      </c>
      <c r="G46" s="26" t="s">
        <v>186</v>
      </c>
      <c r="H46" s="25" t="s">
        <v>214</v>
      </c>
      <c r="I46" s="25" t="s">
        <v>225</v>
      </c>
      <c r="J46" s="33">
        <v>70</v>
      </c>
      <c r="L46" s="26" t="s">
        <v>229</v>
      </c>
      <c r="M46" s="26">
        <v>400</v>
      </c>
      <c r="N46" s="45">
        <f t="shared" si="0"/>
        <v>0</v>
      </c>
    </row>
    <row r="47" spans="1:14" x14ac:dyDescent="0.25">
      <c r="A47" s="26" t="s">
        <v>138</v>
      </c>
      <c r="B47" s="26" t="s">
        <v>182</v>
      </c>
      <c r="C47" s="26">
        <v>901.13</v>
      </c>
      <c r="E47" s="26" t="s">
        <v>19</v>
      </c>
      <c r="F47" s="25" t="s">
        <v>195</v>
      </c>
      <c r="G47" s="26" t="s">
        <v>186</v>
      </c>
      <c r="H47" s="25" t="s">
        <v>215</v>
      </c>
      <c r="I47" s="25" t="s">
        <v>225</v>
      </c>
      <c r="J47" s="26">
        <v>25000</v>
      </c>
      <c r="K47" s="26" t="s">
        <v>231</v>
      </c>
      <c r="L47" s="26" t="s">
        <v>229</v>
      </c>
      <c r="M47" s="26">
        <v>400</v>
      </c>
      <c r="N47" s="45">
        <f t="shared" si="0"/>
        <v>1</v>
      </c>
    </row>
    <row r="48" spans="1:14" x14ac:dyDescent="0.25">
      <c r="A48" s="26" t="s">
        <v>138</v>
      </c>
      <c r="B48" s="26" t="s">
        <v>182</v>
      </c>
      <c r="C48" s="26">
        <v>901.13</v>
      </c>
      <c r="E48" s="26" t="s">
        <v>19</v>
      </c>
      <c r="F48" s="25" t="s">
        <v>194</v>
      </c>
      <c r="G48" s="26" t="s">
        <v>186</v>
      </c>
      <c r="H48" s="25" t="s">
        <v>216</v>
      </c>
      <c r="I48" s="25" t="s">
        <v>225</v>
      </c>
      <c r="J48" s="33">
        <v>700</v>
      </c>
      <c r="L48" s="26" t="s">
        <v>229</v>
      </c>
      <c r="M48" s="26">
        <v>400</v>
      </c>
      <c r="N48" s="45">
        <f t="shared" si="0"/>
        <v>1</v>
      </c>
    </row>
    <row r="49" spans="1:14" x14ac:dyDescent="0.25">
      <c r="A49" s="26" t="s">
        <v>138</v>
      </c>
      <c r="B49" s="26" t="s">
        <v>182</v>
      </c>
      <c r="C49" s="26">
        <v>901.13</v>
      </c>
      <c r="D49" s="26" t="s">
        <v>182</v>
      </c>
      <c r="E49" s="26" t="s">
        <v>19</v>
      </c>
      <c r="F49" s="25" t="s">
        <v>146</v>
      </c>
      <c r="G49" s="26" t="s">
        <v>186</v>
      </c>
      <c r="H49" s="25" t="s">
        <v>217</v>
      </c>
      <c r="I49" s="25" t="s">
        <v>225</v>
      </c>
      <c r="J49" s="26">
        <v>1500</v>
      </c>
      <c r="K49" s="26" t="s">
        <v>231</v>
      </c>
      <c r="L49" s="26" t="s">
        <v>229</v>
      </c>
      <c r="M49" s="26">
        <v>400</v>
      </c>
      <c r="N49" s="45">
        <f t="shared" si="0"/>
        <v>1</v>
      </c>
    </row>
    <row r="50" spans="1:14" x14ac:dyDescent="0.25">
      <c r="A50" s="26" t="s">
        <v>110</v>
      </c>
      <c r="B50" s="26" t="s">
        <v>108</v>
      </c>
      <c r="C50" s="26">
        <v>901.27</v>
      </c>
      <c r="D50" s="26" t="s">
        <v>135</v>
      </c>
      <c r="E50" s="26" t="s">
        <v>19</v>
      </c>
      <c r="F50" s="25" t="s">
        <v>98</v>
      </c>
      <c r="G50" s="26" t="s">
        <v>186</v>
      </c>
      <c r="H50" s="25" t="s">
        <v>218</v>
      </c>
      <c r="I50" s="25" t="s">
        <v>225</v>
      </c>
      <c r="J50" s="26">
        <v>200</v>
      </c>
      <c r="K50" s="26" t="s">
        <v>231</v>
      </c>
      <c r="L50" s="26" t="s">
        <v>229</v>
      </c>
      <c r="M50" s="26">
        <v>400</v>
      </c>
      <c r="N50" s="45">
        <f t="shared" si="0"/>
        <v>0</v>
      </c>
    </row>
    <row r="51" spans="1:14" x14ac:dyDescent="0.25">
      <c r="A51" s="26" t="s">
        <v>110</v>
      </c>
      <c r="B51" s="26" t="s">
        <v>108</v>
      </c>
      <c r="C51" s="26">
        <v>901.27</v>
      </c>
      <c r="D51" s="26" t="s">
        <v>135</v>
      </c>
      <c r="E51" s="26" t="s">
        <v>19</v>
      </c>
      <c r="F51" s="25" t="s">
        <v>196</v>
      </c>
      <c r="G51" s="26" t="s">
        <v>186</v>
      </c>
      <c r="H51" s="25" t="s">
        <v>219</v>
      </c>
      <c r="I51" s="25" t="s">
        <v>225</v>
      </c>
      <c r="J51" s="33">
        <v>3300</v>
      </c>
      <c r="L51" s="26" t="s">
        <v>229</v>
      </c>
      <c r="M51" s="26">
        <v>400</v>
      </c>
      <c r="N51" s="45">
        <f t="shared" si="0"/>
        <v>1</v>
      </c>
    </row>
    <row r="52" spans="1:14" x14ac:dyDescent="0.25">
      <c r="A52" s="26" t="s">
        <v>138</v>
      </c>
      <c r="B52" s="26" t="s">
        <v>182</v>
      </c>
      <c r="C52" s="26">
        <v>901.13</v>
      </c>
      <c r="D52" s="26" t="s">
        <v>182</v>
      </c>
      <c r="E52" s="26" t="s">
        <v>19</v>
      </c>
      <c r="F52" s="25" t="s">
        <v>191</v>
      </c>
      <c r="G52" s="26" t="s">
        <v>186</v>
      </c>
      <c r="H52" s="25" t="s">
        <v>220</v>
      </c>
      <c r="I52" s="25" t="s">
        <v>225</v>
      </c>
      <c r="J52" s="33">
        <v>26000</v>
      </c>
      <c r="L52" s="26" t="s">
        <v>229</v>
      </c>
      <c r="M52" s="26">
        <v>400</v>
      </c>
      <c r="N52" s="45">
        <f t="shared" si="0"/>
        <v>1</v>
      </c>
    </row>
    <row r="53" spans="1:14" x14ac:dyDescent="0.25">
      <c r="A53" s="26" t="s">
        <v>138</v>
      </c>
      <c r="B53" s="26" t="s">
        <v>182</v>
      </c>
      <c r="C53" s="26">
        <v>901.13</v>
      </c>
      <c r="D53" s="26" t="s">
        <v>182</v>
      </c>
      <c r="E53" s="26" t="s">
        <v>19</v>
      </c>
      <c r="F53" s="25" t="s">
        <v>193</v>
      </c>
      <c r="G53" s="26" t="s">
        <v>186</v>
      </c>
      <c r="H53" s="25" t="s">
        <v>221</v>
      </c>
      <c r="I53" s="25" t="s">
        <v>225</v>
      </c>
      <c r="J53" s="33">
        <v>7000</v>
      </c>
      <c r="L53" s="26" t="s">
        <v>229</v>
      </c>
      <c r="M53" s="26">
        <v>400</v>
      </c>
      <c r="N53" s="45">
        <f t="shared" si="0"/>
        <v>1</v>
      </c>
    </row>
    <row r="54" spans="1:14" x14ac:dyDescent="0.25">
      <c r="A54" s="26" t="s">
        <v>138</v>
      </c>
      <c r="B54" s="26" t="s">
        <v>182</v>
      </c>
      <c r="C54" s="26">
        <v>901.13</v>
      </c>
      <c r="D54" s="26" t="s">
        <v>182</v>
      </c>
      <c r="E54" s="26" t="s">
        <v>19</v>
      </c>
      <c r="F54" s="25" t="s">
        <v>146</v>
      </c>
      <c r="G54" s="26" t="s">
        <v>186</v>
      </c>
      <c r="H54" s="25" t="s">
        <v>222</v>
      </c>
      <c r="I54" s="25" t="s">
        <v>225</v>
      </c>
      <c r="J54" s="26">
        <v>1220</v>
      </c>
      <c r="K54" s="26" t="s">
        <v>231</v>
      </c>
      <c r="L54" s="26" t="s">
        <v>229</v>
      </c>
      <c r="M54" s="26">
        <v>400</v>
      </c>
      <c r="N54" s="45">
        <f t="shared" si="0"/>
        <v>1</v>
      </c>
    </row>
    <row r="55" spans="1:14" x14ac:dyDescent="0.25">
      <c r="A55" s="26" t="s">
        <v>138</v>
      </c>
      <c r="B55" s="26" t="s">
        <v>182</v>
      </c>
      <c r="C55" s="26">
        <v>901.13</v>
      </c>
      <c r="D55" s="26" t="s">
        <v>182</v>
      </c>
      <c r="E55" s="26" t="s">
        <v>19</v>
      </c>
      <c r="F55" s="31" t="s">
        <v>192</v>
      </c>
      <c r="G55" s="26" t="s">
        <v>186</v>
      </c>
      <c r="H55" s="32" t="s">
        <v>223</v>
      </c>
      <c r="I55" s="25" t="s">
        <v>225</v>
      </c>
      <c r="J55" s="33">
        <v>12300</v>
      </c>
      <c r="L55" s="26" t="s">
        <v>229</v>
      </c>
      <c r="M55" s="26">
        <v>400</v>
      </c>
      <c r="N55" s="45">
        <f t="shared" si="0"/>
        <v>1</v>
      </c>
    </row>
    <row r="56" spans="1:14" x14ac:dyDescent="0.25">
      <c r="A56" s="26" t="s">
        <v>136</v>
      </c>
      <c r="B56" s="26" t="s">
        <v>182</v>
      </c>
      <c r="C56" s="26">
        <v>901.13</v>
      </c>
      <c r="D56" s="26" t="s">
        <v>182</v>
      </c>
      <c r="E56" s="26" t="s">
        <v>19</v>
      </c>
      <c r="F56" s="25" t="s">
        <v>172</v>
      </c>
      <c r="G56" s="26" t="s">
        <v>186</v>
      </c>
      <c r="H56" s="25" t="s">
        <v>197</v>
      </c>
      <c r="I56" s="26" t="s">
        <v>228</v>
      </c>
      <c r="J56" s="33">
        <v>99</v>
      </c>
      <c r="L56" s="26" t="s">
        <v>229</v>
      </c>
      <c r="M56" s="26">
        <v>320</v>
      </c>
      <c r="N56" s="45">
        <f t="shared" si="0"/>
        <v>0</v>
      </c>
    </row>
    <row r="57" spans="1:14" x14ac:dyDescent="0.25">
      <c r="A57" s="26" t="s">
        <v>136</v>
      </c>
      <c r="B57" s="26" t="s">
        <v>182</v>
      </c>
      <c r="C57" s="26">
        <v>901.13</v>
      </c>
      <c r="D57" s="26" t="s">
        <v>182</v>
      </c>
      <c r="E57" s="26" t="s">
        <v>19</v>
      </c>
      <c r="F57" s="25" t="s">
        <v>187</v>
      </c>
      <c r="G57" s="26" t="s">
        <v>186</v>
      </c>
      <c r="H57" s="25" t="s">
        <v>198</v>
      </c>
      <c r="I57" s="26" t="s">
        <v>228</v>
      </c>
      <c r="J57" s="33">
        <v>2300</v>
      </c>
      <c r="L57" s="26" t="s">
        <v>229</v>
      </c>
      <c r="M57" s="26">
        <v>320</v>
      </c>
      <c r="N57" s="45">
        <f t="shared" si="0"/>
        <v>1</v>
      </c>
    </row>
    <row r="58" spans="1:14" x14ac:dyDescent="0.25">
      <c r="A58" s="26" t="s">
        <v>139</v>
      </c>
      <c r="B58" s="26" t="s">
        <v>182</v>
      </c>
      <c r="C58" s="26">
        <v>901.13</v>
      </c>
      <c r="D58" s="26" t="s">
        <v>182</v>
      </c>
      <c r="E58" s="26" t="s">
        <v>19</v>
      </c>
      <c r="F58" s="25" t="s">
        <v>188</v>
      </c>
      <c r="G58" s="26" t="s">
        <v>186</v>
      </c>
      <c r="H58" s="25" t="s">
        <v>199</v>
      </c>
      <c r="I58" s="26" t="s">
        <v>228</v>
      </c>
      <c r="J58" s="33">
        <v>1020</v>
      </c>
      <c r="L58" s="26" t="s">
        <v>229</v>
      </c>
      <c r="M58" s="26">
        <v>320</v>
      </c>
      <c r="N58" s="45">
        <f t="shared" si="0"/>
        <v>1</v>
      </c>
    </row>
    <row r="59" spans="1:14" x14ac:dyDescent="0.25">
      <c r="A59" s="26" t="s">
        <v>139</v>
      </c>
      <c r="B59" s="26" t="s">
        <v>182</v>
      </c>
      <c r="C59" s="26">
        <v>901.13</v>
      </c>
      <c r="D59" s="26" t="s">
        <v>182</v>
      </c>
      <c r="E59" s="26" t="s">
        <v>19</v>
      </c>
      <c r="F59" s="25" t="s">
        <v>189</v>
      </c>
      <c r="G59" s="26" t="s">
        <v>186</v>
      </c>
      <c r="H59" s="25" t="s">
        <v>200</v>
      </c>
      <c r="I59" s="26" t="s">
        <v>228</v>
      </c>
      <c r="J59" s="33">
        <v>160</v>
      </c>
      <c r="L59" s="26" t="s">
        <v>229</v>
      </c>
      <c r="M59" s="26">
        <v>320</v>
      </c>
      <c r="N59" s="45">
        <f t="shared" si="0"/>
        <v>0</v>
      </c>
    </row>
    <row r="60" spans="1:14" x14ac:dyDescent="0.25">
      <c r="A60" s="26" t="s">
        <v>139</v>
      </c>
      <c r="B60" s="26" t="s">
        <v>182</v>
      </c>
      <c r="C60" s="26">
        <v>901.13</v>
      </c>
      <c r="D60" s="26" t="s">
        <v>182</v>
      </c>
      <c r="E60" s="26" t="s">
        <v>19</v>
      </c>
      <c r="F60" s="25" t="s">
        <v>190</v>
      </c>
      <c r="G60" s="26" t="s">
        <v>186</v>
      </c>
      <c r="H60" s="25" t="s">
        <v>201</v>
      </c>
      <c r="I60" s="26" t="s">
        <v>228</v>
      </c>
      <c r="J60" s="33">
        <v>270</v>
      </c>
      <c r="L60" s="26" t="s">
        <v>229</v>
      </c>
      <c r="M60" s="26">
        <v>320</v>
      </c>
      <c r="N60" s="45">
        <f t="shared" si="0"/>
        <v>0</v>
      </c>
    </row>
    <row r="61" spans="1:14" x14ac:dyDescent="0.25">
      <c r="A61" s="26" t="s">
        <v>138</v>
      </c>
      <c r="B61" s="26" t="s">
        <v>182</v>
      </c>
      <c r="C61" s="26">
        <v>901.13</v>
      </c>
      <c r="D61" s="26" t="s">
        <v>182</v>
      </c>
      <c r="E61" s="26" t="s">
        <v>19</v>
      </c>
      <c r="F61" s="25" t="s">
        <v>191</v>
      </c>
      <c r="G61" s="26" t="s">
        <v>186</v>
      </c>
      <c r="H61" s="25" t="s">
        <v>202</v>
      </c>
      <c r="I61" s="26" t="s">
        <v>228</v>
      </c>
      <c r="J61" s="33">
        <v>1190</v>
      </c>
      <c r="L61" s="26" t="s">
        <v>229</v>
      </c>
      <c r="M61" s="26">
        <v>320</v>
      </c>
      <c r="N61" s="45">
        <f t="shared" si="0"/>
        <v>1</v>
      </c>
    </row>
    <row r="62" spans="1:14" x14ac:dyDescent="0.25">
      <c r="A62" s="26" t="s">
        <v>138</v>
      </c>
      <c r="B62" s="26" t="s">
        <v>182</v>
      </c>
      <c r="C62" s="26">
        <v>901.13</v>
      </c>
      <c r="D62" s="26" t="s">
        <v>182</v>
      </c>
      <c r="E62" s="26" t="s">
        <v>19</v>
      </c>
      <c r="F62" s="25" t="s">
        <v>192</v>
      </c>
      <c r="G62" s="26" t="s">
        <v>186</v>
      </c>
      <c r="H62" s="25" t="s">
        <v>203</v>
      </c>
      <c r="I62" s="26" t="s">
        <v>228</v>
      </c>
      <c r="J62" s="33">
        <v>3500</v>
      </c>
      <c r="L62" s="26" t="s">
        <v>229</v>
      </c>
      <c r="M62" s="26">
        <v>320</v>
      </c>
      <c r="N62" s="45">
        <f t="shared" si="0"/>
        <v>1</v>
      </c>
    </row>
    <row r="63" spans="1:14" x14ac:dyDescent="0.25">
      <c r="A63" s="26" t="s">
        <v>138</v>
      </c>
      <c r="B63" s="26" t="s">
        <v>182</v>
      </c>
      <c r="C63" s="26">
        <v>901.13</v>
      </c>
      <c r="D63" s="26" t="s">
        <v>182</v>
      </c>
      <c r="E63" s="26" t="s">
        <v>19</v>
      </c>
      <c r="F63" s="25" t="s">
        <v>193</v>
      </c>
      <c r="G63" s="26" t="s">
        <v>186</v>
      </c>
      <c r="H63" s="25" t="s">
        <v>204</v>
      </c>
      <c r="I63" s="26" t="s">
        <v>228</v>
      </c>
      <c r="J63" s="33">
        <v>790</v>
      </c>
      <c r="L63" s="26" t="s">
        <v>229</v>
      </c>
      <c r="M63" s="26">
        <v>320</v>
      </c>
      <c r="N63" s="45">
        <f t="shared" si="0"/>
        <v>1</v>
      </c>
    </row>
    <row r="64" spans="1:14" x14ac:dyDescent="0.25">
      <c r="A64" s="26" t="s">
        <v>138</v>
      </c>
      <c r="B64" s="26" t="s">
        <v>182</v>
      </c>
      <c r="C64" s="26">
        <v>901.13</v>
      </c>
      <c r="E64" s="26" t="s">
        <v>19</v>
      </c>
      <c r="F64" s="25" t="s">
        <v>194</v>
      </c>
      <c r="G64" s="26" t="s">
        <v>186</v>
      </c>
      <c r="H64" s="25" t="s">
        <v>205</v>
      </c>
      <c r="I64" s="26" t="s">
        <v>228</v>
      </c>
      <c r="J64" s="33">
        <v>1000</v>
      </c>
      <c r="L64" s="26" t="s">
        <v>229</v>
      </c>
      <c r="M64" s="26">
        <v>320</v>
      </c>
      <c r="N64" s="45">
        <f t="shared" si="0"/>
        <v>1</v>
      </c>
    </row>
    <row r="65" spans="1:14" x14ac:dyDescent="0.25">
      <c r="A65" s="26" t="s">
        <v>138</v>
      </c>
      <c r="B65" s="26" t="s">
        <v>182</v>
      </c>
      <c r="C65" s="26">
        <v>901.13</v>
      </c>
      <c r="E65" s="26" t="s">
        <v>19</v>
      </c>
      <c r="F65" s="25" t="s">
        <v>195</v>
      </c>
      <c r="G65" s="26" t="s">
        <v>186</v>
      </c>
      <c r="H65" s="25" t="s">
        <v>206</v>
      </c>
      <c r="I65" s="26" t="s">
        <v>228</v>
      </c>
      <c r="J65" s="33">
        <v>71</v>
      </c>
      <c r="L65" s="26" t="s">
        <v>229</v>
      </c>
      <c r="M65" s="26">
        <v>320</v>
      </c>
      <c r="N65" s="45">
        <f t="shared" si="0"/>
        <v>0</v>
      </c>
    </row>
    <row r="66" spans="1:14" x14ac:dyDescent="0.25">
      <c r="A66" s="26" t="s">
        <v>138</v>
      </c>
      <c r="B66" s="26" t="s">
        <v>182</v>
      </c>
      <c r="C66" s="26">
        <v>901.13</v>
      </c>
      <c r="D66" s="26" t="s">
        <v>182</v>
      </c>
      <c r="E66" s="26" t="s">
        <v>19</v>
      </c>
      <c r="F66" s="25" t="s">
        <v>146</v>
      </c>
      <c r="G66" s="26" t="s">
        <v>186</v>
      </c>
      <c r="H66" s="25" t="s">
        <v>207</v>
      </c>
      <c r="I66" s="26" t="s">
        <v>228</v>
      </c>
      <c r="J66" s="33">
        <v>180</v>
      </c>
      <c r="L66" s="26" t="s">
        <v>229</v>
      </c>
      <c r="M66" s="26">
        <v>320</v>
      </c>
      <c r="N66" s="45">
        <f t="shared" si="0"/>
        <v>0</v>
      </c>
    </row>
    <row r="67" spans="1:14" x14ac:dyDescent="0.25">
      <c r="A67" s="26" t="s">
        <v>110</v>
      </c>
      <c r="B67" s="26" t="s">
        <v>108</v>
      </c>
      <c r="C67" s="26">
        <v>901.27</v>
      </c>
      <c r="D67" s="26" t="s">
        <v>135</v>
      </c>
      <c r="E67" s="26" t="s">
        <v>19</v>
      </c>
      <c r="F67" s="25" t="s">
        <v>98</v>
      </c>
      <c r="G67" s="26" t="s">
        <v>186</v>
      </c>
      <c r="H67" s="25" t="s">
        <v>208</v>
      </c>
      <c r="I67" s="26" t="s">
        <v>228</v>
      </c>
      <c r="J67" s="26">
        <v>210</v>
      </c>
      <c r="K67" s="26" t="s">
        <v>231</v>
      </c>
      <c r="L67" s="26" t="s">
        <v>229</v>
      </c>
      <c r="M67" s="26">
        <v>320</v>
      </c>
      <c r="N67" s="45">
        <f t="shared" ref="N67:N130" si="1">IF(J67&gt;M67, 1, 0)</f>
        <v>0</v>
      </c>
    </row>
    <row r="68" spans="1:14" x14ac:dyDescent="0.25">
      <c r="A68" s="26" t="s">
        <v>110</v>
      </c>
      <c r="B68" s="26" t="s">
        <v>108</v>
      </c>
      <c r="C68" s="26">
        <v>901.27</v>
      </c>
      <c r="D68" s="26" t="s">
        <v>135</v>
      </c>
      <c r="E68" s="26" t="s">
        <v>19</v>
      </c>
      <c r="F68" s="25" t="s">
        <v>196</v>
      </c>
      <c r="G68" s="26" t="s">
        <v>186</v>
      </c>
      <c r="H68" s="25" t="s">
        <v>209</v>
      </c>
      <c r="I68" s="26" t="s">
        <v>228</v>
      </c>
      <c r="J68" s="26">
        <v>1370</v>
      </c>
      <c r="K68" s="26" t="s">
        <v>231</v>
      </c>
      <c r="L68" s="26" t="s">
        <v>229</v>
      </c>
      <c r="M68" s="26">
        <v>320</v>
      </c>
      <c r="N68" s="45">
        <f t="shared" si="1"/>
        <v>1</v>
      </c>
    </row>
    <row r="69" spans="1:14" x14ac:dyDescent="0.25">
      <c r="A69" s="26" t="s">
        <v>139</v>
      </c>
      <c r="B69" s="26" t="s">
        <v>182</v>
      </c>
      <c r="C69" s="26">
        <v>901.13</v>
      </c>
      <c r="D69" s="26" t="s">
        <v>182</v>
      </c>
      <c r="E69" s="26" t="s">
        <v>19</v>
      </c>
      <c r="F69" s="25" t="s">
        <v>189</v>
      </c>
      <c r="G69" s="26" t="s">
        <v>186</v>
      </c>
      <c r="H69" s="25" t="s">
        <v>210</v>
      </c>
      <c r="I69" s="26" t="s">
        <v>228</v>
      </c>
      <c r="J69" s="33">
        <v>26000</v>
      </c>
      <c r="L69" s="26" t="s">
        <v>229</v>
      </c>
      <c r="M69" s="26">
        <v>320</v>
      </c>
      <c r="N69" s="45">
        <f t="shared" si="1"/>
        <v>1</v>
      </c>
    </row>
    <row r="70" spans="1:14" x14ac:dyDescent="0.25">
      <c r="A70" s="26" t="s">
        <v>136</v>
      </c>
      <c r="B70" s="26" t="s">
        <v>182</v>
      </c>
      <c r="C70" s="26">
        <v>901.13</v>
      </c>
      <c r="D70" s="26" t="s">
        <v>182</v>
      </c>
      <c r="E70" s="26" t="s">
        <v>19</v>
      </c>
      <c r="F70" s="25" t="s">
        <v>187</v>
      </c>
      <c r="G70" s="26" t="s">
        <v>186</v>
      </c>
      <c r="H70" s="25" t="s">
        <v>211</v>
      </c>
      <c r="I70" s="26" t="s">
        <v>228</v>
      </c>
      <c r="J70" s="26">
        <v>13900</v>
      </c>
      <c r="K70" s="26" t="s">
        <v>231</v>
      </c>
      <c r="L70" s="26" t="s">
        <v>229</v>
      </c>
      <c r="M70" s="26">
        <v>320</v>
      </c>
      <c r="N70" s="45">
        <f t="shared" si="1"/>
        <v>1</v>
      </c>
    </row>
    <row r="71" spans="1:14" x14ac:dyDescent="0.25">
      <c r="A71" s="26" t="s">
        <v>139</v>
      </c>
      <c r="B71" s="26" t="s">
        <v>182</v>
      </c>
      <c r="C71" s="26">
        <v>901.13</v>
      </c>
      <c r="D71" s="26" t="s">
        <v>182</v>
      </c>
      <c r="E71" s="26" t="s">
        <v>19</v>
      </c>
      <c r="F71" s="25" t="s">
        <v>190</v>
      </c>
      <c r="G71" s="26" t="s">
        <v>186</v>
      </c>
      <c r="H71" s="25" t="s">
        <v>212</v>
      </c>
      <c r="I71" s="26" t="s">
        <v>228</v>
      </c>
      <c r="J71" s="26">
        <v>9</v>
      </c>
      <c r="K71" s="26" t="s">
        <v>232</v>
      </c>
      <c r="L71" s="26" t="s">
        <v>229</v>
      </c>
      <c r="M71" s="26">
        <v>320</v>
      </c>
      <c r="N71" s="45">
        <f t="shared" si="1"/>
        <v>0</v>
      </c>
    </row>
    <row r="72" spans="1:14" x14ac:dyDescent="0.25">
      <c r="A72" s="26" t="s">
        <v>140</v>
      </c>
      <c r="B72" s="26" t="s">
        <v>182</v>
      </c>
      <c r="C72" s="26">
        <v>901.13</v>
      </c>
      <c r="D72" s="26" t="s">
        <v>182</v>
      </c>
      <c r="E72" s="26" t="s">
        <v>19</v>
      </c>
      <c r="F72" s="25" t="s">
        <v>177</v>
      </c>
      <c r="G72" s="26" t="s">
        <v>186</v>
      </c>
      <c r="H72" s="25" t="s">
        <v>213</v>
      </c>
      <c r="I72" s="26" t="s">
        <v>228</v>
      </c>
      <c r="J72" s="33">
        <v>20</v>
      </c>
      <c r="L72" s="26" t="s">
        <v>229</v>
      </c>
      <c r="M72" s="26">
        <v>320</v>
      </c>
      <c r="N72" s="45">
        <f t="shared" si="1"/>
        <v>0</v>
      </c>
    </row>
    <row r="73" spans="1:14" x14ac:dyDescent="0.25">
      <c r="A73" s="26" t="s">
        <v>139</v>
      </c>
      <c r="B73" s="26" t="s">
        <v>182</v>
      </c>
      <c r="C73" s="26">
        <v>901.13</v>
      </c>
      <c r="D73" s="26" t="s">
        <v>182</v>
      </c>
      <c r="E73" s="26" t="s">
        <v>19</v>
      </c>
      <c r="F73" s="25" t="s">
        <v>188</v>
      </c>
      <c r="G73" s="26" t="s">
        <v>186</v>
      </c>
      <c r="H73" s="25" t="s">
        <v>214</v>
      </c>
      <c r="I73" s="26" t="s">
        <v>228</v>
      </c>
      <c r="J73" s="33">
        <v>90</v>
      </c>
      <c r="L73" s="26" t="s">
        <v>229</v>
      </c>
      <c r="M73" s="26">
        <v>320</v>
      </c>
      <c r="N73" s="45">
        <f t="shared" si="1"/>
        <v>0</v>
      </c>
    </row>
    <row r="74" spans="1:14" x14ac:dyDescent="0.25">
      <c r="A74" s="26" t="s">
        <v>138</v>
      </c>
      <c r="B74" s="26" t="s">
        <v>182</v>
      </c>
      <c r="C74" s="26">
        <v>901.13</v>
      </c>
      <c r="E74" s="26" t="s">
        <v>19</v>
      </c>
      <c r="F74" s="25" t="s">
        <v>195</v>
      </c>
      <c r="G74" s="26" t="s">
        <v>186</v>
      </c>
      <c r="H74" s="25" t="s">
        <v>215</v>
      </c>
      <c r="I74" s="26" t="s">
        <v>228</v>
      </c>
      <c r="J74" s="26">
        <v>710</v>
      </c>
      <c r="K74" s="26" t="s">
        <v>231</v>
      </c>
      <c r="L74" s="26" t="s">
        <v>31</v>
      </c>
      <c r="M74" s="26">
        <v>320</v>
      </c>
      <c r="N74" s="45">
        <f t="shared" si="1"/>
        <v>1</v>
      </c>
    </row>
    <row r="75" spans="1:14" x14ac:dyDescent="0.25">
      <c r="A75" s="26" t="s">
        <v>138</v>
      </c>
      <c r="B75" s="26" t="s">
        <v>182</v>
      </c>
      <c r="C75" s="26">
        <v>901.13</v>
      </c>
      <c r="E75" s="26" t="s">
        <v>19</v>
      </c>
      <c r="F75" s="25" t="s">
        <v>194</v>
      </c>
      <c r="G75" s="26" t="s">
        <v>186</v>
      </c>
      <c r="H75" s="25" t="s">
        <v>216</v>
      </c>
      <c r="I75" s="26" t="s">
        <v>228</v>
      </c>
      <c r="J75" s="26">
        <v>820</v>
      </c>
      <c r="K75" s="26" t="s">
        <v>231</v>
      </c>
      <c r="L75" s="26" t="s">
        <v>31</v>
      </c>
      <c r="M75" s="26">
        <v>320</v>
      </c>
      <c r="N75" s="45">
        <f t="shared" si="1"/>
        <v>1</v>
      </c>
    </row>
    <row r="76" spans="1:14" x14ac:dyDescent="0.25">
      <c r="A76" s="26" t="s">
        <v>138</v>
      </c>
      <c r="B76" s="26" t="s">
        <v>182</v>
      </c>
      <c r="C76" s="26">
        <v>901.13</v>
      </c>
      <c r="D76" s="26" t="s">
        <v>182</v>
      </c>
      <c r="E76" s="26" t="s">
        <v>19</v>
      </c>
      <c r="F76" s="25" t="s">
        <v>146</v>
      </c>
      <c r="G76" s="26" t="s">
        <v>186</v>
      </c>
      <c r="H76" s="25" t="s">
        <v>217</v>
      </c>
      <c r="I76" s="26" t="s">
        <v>228</v>
      </c>
      <c r="J76" s="33">
        <v>1000</v>
      </c>
      <c r="L76" s="26" t="s">
        <v>31</v>
      </c>
      <c r="M76" s="26">
        <v>320</v>
      </c>
      <c r="N76" s="45">
        <f t="shared" si="1"/>
        <v>1</v>
      </c>
    </row>
    <row r="77" spans="1:14" x14ac:dyDescent="0.25">
      <c r="A77" s="26" t="s">
        <v>110</v>
      </c>
      <c r="B77" s="26" t="s">
        <v>108</v>
      </c>
      <c r="C77" s="26">
        <v>901.27</v>
      </c>
      <c r="D77" s="26" t="s">
        <v>135</v>
      </c>
      <c r="E77" s="26" t="s">
        <v>19</v>
      </c>
      <c r="F77" s="25" t="s">
        <v>98</v>
      </c>
      <c r="G77" s="26" t="s">
        <v>186</v>
      </c>
      <c r="H77" s="25" t="s">
        <v>218</v>
      </c>
      <c r="I77" s="26" t="s">
        <v>228</v>
      </c>
      <c r="J77" s="33">
        <v>80</v>
      </c>
      <c r="L77" s="26" t="s">
        <v>229</v>
      </c>
      <c r="M77" s="26">
        <v>320</v>
      </c>
      <c r="N77" s="45">
        <f t="shared" si="1"/>
        <v>0</v>
      </c>
    </row>
    <row r="78" spans="1:14" x14ac:dyDescent="0.25">
      <c r="A78" s="26" t="s">
        <v>110</v>
      </c>
      <c r="B78" s="26" t="s">
        <v>108</v>
      </c>
      <c r="C78" s="26">
        <v>901.27</v>
      </c>
      <c r="D78" s="26" t="s">
        <v>135</v>
      </c>
      <c r="E78" s="26" t="s">
        <v>19</v>
      </c>
      <c r="F78" s="25" t="s">
        <v>196</v>
      </c>
      <c r="G78" s="26" t="s">
        <v>186</v>
      </c>
      <c r="H78" s="25" t="s">
        <v>219</v>
      </c>
      <c r="I78" s="26" t="s">
        <v>228</v>
      </c>
      <c r="J78" s="26">
        <v>1440</v>
      </c>
      <c r="K78" s="26" t="s">
        <v>231</v>
      </c>
      <c r="L78" s="26" t="s">
        <v>229</v>
      </c>
      <c r="M78" s="26">
        <v>320</v>
      </c>
      <c r="N78" s="45">
        <f t="shared" si="1"/>
        <v>1</v>
      </c>
    </row>
    <row r="79" spans="1:14" x14ac:dyDescent="0.25">
      <c r="A79" s="26" t="s">
        <v>138</v>
      </c>
      <c r="B79" s="26" t="s">
        <v>182</v>
      </c>
      <c r="C79" s="26">
        <v>901.13</v>
      </c>
      <c r="D79" s="26" t="s">
        <v>182</v>
      </c>
      <c r="E79" s="26" t="s">
        <v>19</v>
      </c>
      <c r="F79" s="25" t="s">
        <v>191</v>
      </c>
      <c r="G79" s="26" t="s">
        <v>186</v>
      </c>
      <c r="H79" s="25" t="s">
        <v>220</v>
      </c>
      <c r="I79" s="26" t="s">
        <v>228</v>
      </c>
      <c r="J79" s="33">
        <v>8800</v>
      </c>
      <c r="L79" s="26" t="s">
        <v>229</v>
      </c>
      <c r="M79" s="26">
        <v>320</v>
      </c>
      <c r="N79" s="45">
        <f t="shared" si="1"/>
        <v>1</v>
      </c>
    </row>
    <row r="80" spans="1:14" x14ac:dyDescent="0.25">
      <c r="A80" s="26" t="s">
        <v>138</v>
      </c>
      <c r="B80" s="26" t="s">
        <v>182</v>
      </c>
      <c r="C80" s="26">
        <v>901.13</v>
      </c>
      <c r="D80" s="26" t="s">
        <v>182</v>
      </c>
      <c r="E80" s="26" t="s">
        <v>19</v>
      </c>
      <c r="F80" s="25" t="s">
        <v>193</v>
      </c>
      <c r="G80" s="26" t="s">
        <v>186</v>
      </c>
      <c r="H80" s="25" t="s">
        <v>221</v>
      </c>
      <c r="I80" s="26" t="s">
        <v>228</v>
      </c>
      <c r="J80" s="33">
        <v>4900</v>
      </c>
      <c r="L80" s="26" t="s">
        <v>229</v>
      </c>
      <c r="M80" s="26">
        <v>320</v>
      </c>
      <c r="N80" s="45">
        <f t="shared" si="1"/>
        <v>1</v>
      </c>
    </row>
    <row r="81" spans="1:14" x14ac:dyDescent="0.25">
      <c r="A81" s="26" t="s">
        <v>138</v>
      </c>
      <c r="B81" s="26" t="s">
        <v>182</v>
      </c>
      <c r="C81" s="26">
        <v>901.13</v>
      </c>
      <c r="D81" s="26" t="s">
        <v>182</v>
      </c>
      <c r="E81" s="26" t="s">
        <v>19</v>
      </c>
      <c r="F81" s="25" t="s">
        <v>146</v>
      </c>
      <c r="G81" s="26" t="s">
        <v>186</v>
      </c>
      <c r="H81" s="25" t="s">
        <v>222</v>
      </c>
      <c r="I81" s="26" t="s">
        <v>228</v>
      </c>
      <c r="J81" s="33">
        <v>700</v>
      </c>
      <c r="L81" s="26" t="s">
        <v>229</v>
      </c>
      <c r="M81" s="26">
        <v>320</v>
      </c>
      <c r="N81" s="45">
        <f t="shared" si="1"/>
        <v>1</v>
      </c>
    </row>
    <row r="82" spans="1:14" x14ac:dyDescent="0.25">
      <c r="A82" s="26" t="s">
        <v>138</v>
      </c>
      <c r="B82" s="26" t="s">
        <v>182</v>
      </c>
      <c r="C82" s="26">
        <v>901.13</v>
      </c>
      <c r="D82" s="26" t="s">
        <v>182</v>
      </c>
      <c r="E82" s="26" t="s">
        <v>19</v>
      </c>
      <c r="F82" s="31" t="s">
        <v>192</v>
      </c>
      <c r="G82" s="26" t="s">
        <v>186</v>
      </c>
      <c r="H82" s="32" t="s">
        <v>223</v>
      </c>
      <c r="I82" s="26" t="s">
        <v>228</v>
      </c>
      <c r="J82" s="33">
        <v>11200</v>
      </c>
      <c r="L82" s="26" t="s">
        <v>229</v>
      </c>
      <c r="M82" s="26">
        <v>320</v>
      </c>
      <c r="N82" s="45">
        <f t="shared" si="1"/>
        <v>1</v>
      </c>
    </row>
    <row r="83" spans="1:14" x14ac:dyDescent="0.25">
      <c r="A83" s="26" t="s">
        <v>139</v>
      </c>
      <c r="B83" s="26" t="s">
        <v>182</v>
      </c>
      <c r="C83" s="26">
        <v>901.13</v>
      </c>
      <c r="D83" s="26" t="s">
        <v>182</v>
      </c>
      <c r="E83" s="26" t="s">
        <v>19</v>
      </c>
      <c r="F83" s="26" t="s">
        <v>188</v>
      </c>
      <c r="G83" s="26" t="s">
        <v>29</v>
      </c>
      <c r="H83" s="26" t="s">
        <v>233</v>
      </c>
      <c r="I83" s="26" t="s">
        <v>224</v>
      </c>
      <c r="J83" s="26">
        <v>3300</v>
      </c>
      <c r="L83" s="26" t="s">
        <v>229</v>
      </c>
      <c r="M83" s="26">
        <v>110</v>
      </c>
      <c r="N83" s="45">
        <f t="shared" si="1"/>
        <v>1</v>
      </c>
    </row>
    <row r="84" spans="1:14" x14ac:dyDescent="0.25">
      <c r="A84" s="26" t="s">
        <v>139</v>
      </c>
      <c r="B84" s="26" t="s">
        <v>182</v>
      </c>
      <c r="C84" s="26">
        <v>901.13</v>
      </c>
      <c r="D84" s="26" t="s">
        <v>182</v>
      </c>
      <c r="E84" s="26" t="s">
        <v>19</v>
      </c>
      <c r="F84" s="26" t="s">
        <v>189</v>
      </c>
      <c r="G84" s="26" t="s">
        <v>29</v>
      </c>
      <c r="H84" s="26" t="s">
        <v>234</v>
      </c>
      <c r="I84" s="26" t="s">
        <v>224</v>
      </c>
      <c r="J84" s="26">
        <v>41000</v>
      </c>
      <c r="L84" s="26" t="s">
        <v>229</v>
      </c>
      <c r="M84" s="26">
        <v>110</v>
      </c>
      <c r="N84" s="45">
        <f t="shared" si="1"/>
        <v>1</v>
      </c>
    </row>
    <row r="85" spans="1:14" x14ac:dyDescent="0.25">
      <c r="A85" s="26" t="s">
        <v>139</v>
      </c>
      <c r="B85" s="26" t="s">
        <v>182</v>
      </c>
      <c r="C85" s="26">
        <v>901.13</v>
      </c>
      <c r="D85" s="26" t="s">
        <v>182</v>
      </c>
      <c r="E85" s="26" t="s">
        <v>19</v>
      </c>
      <c r="F85" s="26" t="s">
        <v>190</v>
      </c>
      <c r="G85" s="26" t="s">
        <v>29</v>
      </c>
      <c r="H85" s="26" t="s">
        <v>235</v>
      </c>
      <c r="I85" s="26" t="s">
        <v>224</v>
      </c>
      <c r="J85" s="26">
        <v>9</v>
      </c>
      <c r="L85" s="26" t="s">
        <v>229</v>
      </c>
      <c r="M85" s="26">
        <v>110</v>
      </c>
      <c r="N85" s="45">
        <f t="shared" si="1"/>
        <v>0</v>
      </c>
    </row>
    <row r="86" spans="1:14" x14ac:dyDescent="0.25">
      <c r="A86" s="26" t="s">
        <v>138</v>
      </c>
      <c r="B86" s="26" t="s">
        <v>182</v>
      </c>
      <c r="C86" s="26">
        <v>901.13</v>
      </c>
      <c r="D86" s="26" t="s">
        <v>182</v>
      </c>
      <c r="E86" s="26" t="s">
        <v>19</v>
      </c>
      <c r="F86" s="26" t="s">
        <v>191</v>
      </c>
      <c r="G86" s="26" t="s">
        <v>29</v>
      </c>
      <c r="H86" s="26" t="s">
        <v>236</v>
      </c>
      <c r="I86" s="26" t="s">
        <v>224</v>
      </c>
      <c r="J86" s="26">
        <v>34000</v>
      </c>
      <c r="L86" s="26" t="s">
        <v>229</v>
      </c>
      <c r="M86" s="26">
        <v>110</v>
      </c>
      <c r="N86" s="45">
        <f t="shared" si="1"/>
        <v>1</v>
      </c>
    </row>
    <row r="87" spans="1:14" x14ac:dyDescent="0.25">
      <c r="A87" s="26" t="s">
        <v>138</v>
      </c>
      <c r="B87" s="26" t="s">
        <v>182</v>
      </c>
      <c r="C87" s="26">
        <v>901.13</v>
      </c>
      <c r="D87" s="26" t="s">
        <v>182</v>
      </c>
      <c r="E87" s="26" t="s">
        <v>19</v>
      </c>
      <c r="F87" s="26" t="s">
        <v>192</v>
      </c>
      <c r="G87" s="26" t="s">
        <v>29</v>
      </c>
      <c r="H87" s="26" t="s">
        <v>237</v>
      </c>
      <c r="I87" s="26" t="s">
        <v>224</v>
      </c>
      <c r="J87" s="26">
        <v>240000</v>
      </c>
      <c r="L87" s="26" t="s">
        <v>229</v>
      </c>
      <c r="M87" s="26">
        <v>110</v>
      </c>
      <c r="N87" s="45">
        <f t="shared" si="1"/>
        <v>1</v>
      </c>
    </row>
    <row r="88" spans="1:14" x14ac:dyDescent="0.25">
      <c r="A88" s="26" t="s">
        <v>138</v>
      </c>
      <c r="B88" s="26" t="s">
        <v>182</v>
      </c>
      <c r="C88" s="26">
        <v>901.13</v>
      </c>
      <c r="D88" s="26" t="s">
        <v>182</v>
      </c>
      <c r="E88" s="26" t="s">
        <v>19</v>
      </c>
      <c r="F88" s="26" t="s">
        <v>193</v>
      </c>
      <c r="G88" s="26" t="s">
        <v>29</v>
      </c>
      <c r="H88" s="26" t="s">
        <v>238</v>
      </c>
      <c r="I88" s="26" t="s">
        <v>224</v>
      </c>
      <c r="J88" s="26">
        <v>80</v>
      </c>
      <c r="L88" s="26" t="s">
        <v>229</v>
      </c>
      <c r="M88" s="26">
        <v>110</v>
      </c>
      <c r="N88" s="45">
        <f t="shared" si="1"/>
        <v>0</v>
      </c>
    </row>
    <row r="89" spans="1:14" x14ac:dyDescent="0.25">
      <c r="A89" s="26" t="s">
        <v>138</v>
      </c>
      <c r="B89" s="26" t="s">
        <v>182</v>
      </c>
      <c r="C89" s="26">
        <v>901.13</v>
      </c>
      <c r="D89" s="26" t="s">
        <v>182</v>
      </c>
      <c r="E89" s="26" t="s">
        <v>19</v>
      </c>
      <c r="F89" s="26" t="s">
        <v>146</v>
      </c>
      <c r="G89" s="26" t="s">
        <v>29</v>
      </c>
      <c r="H89" s="26" t="s">
        <v>239</v>
      </c>
      <c r="I89" s="26" t="s">
        <v>224</v>
      </c>
      <c r="J89" s="26">
        <v>2300</v>
      </c>
      <c r="L89" s="26" t="s">
        <v>229</v>
      </c>
      <c r="M89" s="26">
        <v>110</v>
      </c>
      <c r="N89" s="45">
        <f t="shared" si="1"/>
        <v>1</v>
      </c>
    </row>
    <row r="90" spans="1:14" x14ac:dyDescent="0.25">
      <c r="A90" s="26" t="s">
        <v>136</v>
      </c>
      <c r="B90" s="26" t="s">
        <v>182</v>
      </c>
      <c r="C90" s="26">
        <v>901.13</v>
      </c>
      <c r="D90" s="26" t="s">
        <v>182</v>
      </c>
      <c r="E90" s="26" t="s">
        <v>19</v>
      </c>
      <c r="F90" s="26" t="s">
        <v>187</v>
      </c>
      <c r="G90" s="26" t="s">
        <v>29</v>
      </c>
      <c r="H90" s="26" t="s">
        <v>240</v>
      </c>
      <c r="I90" s="26" t="s">
        <v>224</v>
      </c>
      <c r="J90" s="26">
        <v>3400</v>
      </c>
      <c r="L90" s="26" t="s">
        <v>229</v>
      </c>
      <c r="M90" s="26">
        <v>110</v>
      </c>
      <c r="N90" s="45">
        <f t="shared" si="1"/>
        <v>1</v>
      </c>
    </row>
    <row r="91" spans="1:14" x14ac:dyDescent="0.25">
      <c r="A91" s="26" t="s">
        <v>110</v>
      </c>
      <c r="B91" s="26" t="s">
        <v>108</v>
      </c>
      <c r="C91" s="26">
        <v>901.27</v>
      </c>
      <c r="D91" s="26" t="s">
        <v>135</v>
      </c>
      <c r="E91" s="26" t="s">
        <v>19</v>
      </c>
      <c r="F91" s="26" t="s">
        <v>196</v>
      </c>
      <c r="G91" s="26" t="s">
        <v>29</v>
      </c>
      <c r="H91" s="26" t="s">
        <v>241</v>
      </c>
      <c r="I91" s="26" t="s">
        <v>224</v>
      </c>
      <c r="J91" s="26">
        <v>890</v>
      </c>
      <c r="L91" s="26" t="s">
        <v>229</v>
      </c>
      <c r="M91" s="26">
        <v>110</v>
      </c>
      <c r="N91" s="45">
        <f t="shared" si="1"/>
        <v>1</v>
      </c>
    </row>
    <row r="92" spans="1:14" x14ac:dyDescent="0.25">
      <c r="A92" s="26" t="s">
        <v>136</v>
      </c>
      <c r="B92" s="26" t="s">
        <v>182</v>
      </c>
      <c r="C92" s="26">
        <v>901.13</v>
      </c>
      <c r="D92" s="26" t="s">
        <v>182</v>
      </c>
      <c r="E92" s="26" t="s">
        <v>19</v>
      </c>
      <c r="F92" s="26" t="s">
        <v>187</v>
      </c>
      <c r="G92" s="26" t="s">
        <v>29</v>
      </c>
      <c r="H92" s="26" t="s">
        <v>242</v>
      </c>
      <c r="I92" s="26" t="s">
        <v>224</v>
      </c>
      <c r="J92" s="26">
        <v>6700</v>
      </c>
      <c r="L92" s="26" t="s">
        <v>229</v>
      </c>
      <c r="M92" s="26">
        <v>110</v>
      </c>
      <c r="N92" s="45">
        <f t="shared" si="1"/>
        <v>1</v>
      </c>
    </row>
    <row r="93" spans="1:14" x14ac:dyDescent="0.25">
      <c r="A93" s="26" t="s">
        <v>139</v>
      </c>
      <c r="B93" s="26" t="s">
        <v>182</v>
      </c>
      <c r="C93" s="26">
        <v>901.13</v>
      </c>
      <c r="D93" s="26" t="s">
        <v>182</v>
      </c>
      <c r="E93" s="26" t="s">
        <v>19</v>
      </c>
      <c r="F93" s="26" t="s">
        <v>188</v>
      </c>
      <c r="G93" s="26" t="s">
        <v>29</v>
      </c>
      <c r="H93" s="26" t="s">
        <v>243</v>
      </c>
      <c r="I93" s="26" t="s">
        <v>224</v>
      </c>
      <c r="J93" s="26">
        <v>1100</v>
      </c>
      <c r="L93" s="26" t="s">
        <v>229</v>
      </c>
      <c r="M93" s="26">
        <v>110</v>
      </c>
      <c r="N93" s="45">
        <f t="shared" si="1"/>
        <v>1</v>
      </c>
    </row>
    <row r="94" spans="1:14" x14ac:dyDescent="0.25">
      <c r="A94" s="26" t="s">
        <v>139</v>
      </c>
      <c r="B94" s="26" t="s">
        <v>182</v>
      </c>
      <c r="C94" s="26">
        <v>901.13</v>
      </c>
      <c r="D94" s="26" t="s">
        <v>182</v>
      </c>
      <c r="E94" s="26" t="s">
        <v>19</v>
      </c>
      <c r="F94" s="26" t="s">
        <v>189</v>
      </c>
      <c r="G94" s="26" t="s">
        <v>29</v>
      </c>
      <c r="H94" s="26" t="s">
        <v>244</v>
      </c>
      <c r="I94" s="26" t="s">
        <v>224</v>
      </c>
      <c r="J94" s="26">
        <v>1230</v>
      </c>
      <c r="L94" s="26" t="s">
        <v>229</v>
      </c>
      <c r="M94" s="26">
        <v>110</v>
      </c>
      <c r="N94" s="45">
        <f t="shared" si="1"/>
        <v>1</v>
      </c>
    </row>
    <row r="95" spans="1:14" x14ac:dyDescent="0.25">
      <c r="A95" s="26" t="s">
        <v>139</v>
      </c>
      <c r="B95" s="26" t="s">
        <v>182</v>
      </c>
      <c r="C95" s="26">
        <v>901.13</v>
      </c>
      <c r="D95" s="26" t="s">
        <v>182</v>
      </c>
      <c r="E95" s="26" t="s">
        <v>19</v>
      </c>
      <c r="F95" s="26" t="s">
        <v>190</v>
      </c>
      <c r="G95" s="26" t="s">
        <v>29</v>
      </c>
      <c r="H95" s="26" t="s">
        <v>245</v>
      </c>
      <c r="I95" s="26" t="s">
        <v>224</v>
      </c>
      <c r="J95" s="26">
        <v>20</v>
      </c>
      <c r="L95" s="26" t="s">
        <v>229</v>
      </c>
      <c r="M95" s="26">
        <v>110</v>
      </c>
      <c r="N95" s="45">
        <f t="shared" si="1"/>
        <v>0</v>
      </c>
    </row>
    <row r="96" spans="1:14" x14ac:dyDescent="0.25">
      <c r="A96" s="26" t="s">
        <v>138</v>
      </c>
      <c r="B96" s="26" t="s">
        <v>182</v>
      </c>
      <c r="C96" s="26">
        <v>901.13</v>
      </c>
      <c r="D96" s="26" t="s">
        <v>182</v>
      </c>
      <c r="E96" s="26" t="s">
        <v>19</v>
      </c>
      <c r="F96" s="26" t="s">
        <v>146</v>
      </c>
      <c r="G96" s="26" t="s">
        <v>29</v>
      </c>
      <c r="H96" s="26" t="s">
        <v>246</v>
      </c>
      <c r="I96" s="26" t="s">
        <v>224</v>
      </c>
      <c r="J96" s="26">
        <v>1900</v>
      </c>
      <c r="L96" s="26" t="s">
        <v>229</v>
      </c>
      <c r="M96" s="26">
        <v>110</v>
      </c>
      <c r="N96" s="45">
        <f t="shared" si="1"/>
        <v>1</v>
      </c>
    </row>
    <row r="97" spans="1:14" x14ac:dyDescent="0.25">
      <c r="A97" s="26" t="s">
        <v>110</v>
      </c>
      <c r="B97" s="26" t="s">
        <v>108</v>
      </c>
      <c r="C97" s="26">
        <v>901.27</v>
      </c>
      <c r="D97" s="26" t="s">
        <v>135</v>
      </c>
      <c r="E97" s="26" t="s">
        <v>19</v>
      </c>
      <c r="F97" s="26" t="s">
        <v>98</v>
      </c>
      <c r="G97" s="26" t="s">
        <v>29</v>
      </c>
      <c r="H97" s="26" t="s">
        <v>247</v>
      </c>
      <c r="I97" s="26" t="s">
        <v>224</v>
      </c>
      <c r="J97" s="26">
        <v>4400</v>
      </c>
      <c r="L97" s="26" t="s">
        <v>229</v>
      </c>
      <c r="M97" s="26">
        <v>110</v>
      </c>
      <c r="N97" s="45">
        <f t="shared" si="1"/>
        <v>1</v>
      </c>
    </row>
    <row r="98" spans="1:14" x14ac:dyDescent="0.25">
      <c r="A98" s="26" t="s">
        <v>110</v>
      </c>
      <c r="B98" s="26" t="s">
        <v>108</v>
      </c>
      <c r="C98" s="26">
        <v>901.27</v>
      </c>
      <c r="D98" s="26" t="s">
        <v>135</v>
      </c>
      <c r="E98" s="26" t="s">
        <v>19</v>
      </c>
      <c r="F98" s="26" t="s">
        <v>196</v>
      </c>
      <c r="G98" s="26" t="s">
        <v>29</v>
      </c>
      <c r="H98" s="26" t="s">
        <v>248</v>
      </c>
      <c r="I98" s="26" t="s">
        <v>224</v>
      </c>
      <c r="J98" s="26">
        <v>3400</v>
      </c>
      <c r="L98" s="26" t="s">
        <v>229</v>
      </c>
      <c r="M98" s="26">
        <v>110</v>
      </c>
      <c r="N98" s="45">
        <f t="shared" si="1"/>
        <v>1</v>
      </c>
    </row>
    <row r="99" spans="1:14" x14ac:dyDescent="0.25">
      <c r="A99" s="26" t="s">
        <v>138</v>
      </c>
      <c r="B99" s="26" t="s">
        <v>182</v>
      </c>
      <c r="C99" s="26">
        <v>901.13</v>
      </c>
      <c r="D99" s="26" t="s">
        <v>182</v>
      </c>
      <c r="E99" s="26" t="s">
        <v>19</v>
      </c>
      <c r="F99" s="26" t="s">
        <v>192</v>
      </c>
      <c r="G99" s="26" t="s">
        <v>29</v>
      </c>
      <c r="H99" s="26" t="s">
        <v>249</v>
      </c>
      <c r="I99" s="26" t="s">
        <v>224</v>
      </c>
      <c r="J99" s="26">
        <v>32000</v>
      </c>
      <c r="L99" s="26" t="s">
        <v>229</v>
      </c>
      <c r="M99" s="26">
        <v>110</v>
      </c>
      <c r="N99" s="45">
        <f t="shared" si="1"/>
        <v>1</v>
      </c>
    </row>
    <row r="100" spans="1:14" x14ac:dyDescent="0.25">
      <c r="A100" s="26" t="s">
        <v>138</v>
      </c>
      <c r="B100" s="26" t="s">
        <v>182</v>
      </c>
      <c r="C100" s="26">
        <v>901.13</v>
      </c>
      <c r="D100" s="26" t="s">
        <v>182</v>
      </c>
      <c r="E100" s="26" t="s">
        <v>19</v>
      </c>
      <c r="F100" s="26" t="s">
        <v>191</v>
      </c>
      <c r="G100" s="26" t="s">
        <v>29</v>
      </c>
      <c r="H100" s="26" t="s">
        <v>250</v>
      </c>
      <c r="I100" s="26" t="s">
        <v>224</v>
      </c>
      <c r="J100" s="26">
        <v>31000</v>
      </c>
      <c r="L100" s="26" t="s">
        <v>229</v>
      </c>
      <c r="M100" s="26">
        <v>110</v>
      </c>
      <c r="N100" s="45">
        <f t="shared" si="1"/>
        <v>1</v>
      </c>
    </row>
    <row r="101" spans="1:14" x14ac:dyDescent="0.25">
      <c r="A101" s="26" t="s">
        <v>138</v>
      </c>
      <c r="B101" s="26" t="s">
        <v>182</v>
      </c>
      <c r="C101" s="26">
        <v>901.13</v>
      </c>
      <c r="D101" s="26" t="s">
        <v>182</v>
      </c>
      <c r="E101" s="26" t="s">
        <v>19</v>
      </c>
      <c r="F101" s="26" t="s">
        <v>193</v>
      </c>
      <c r="G101" s="26" t="s">
        <v>29</v>
      </c>
      <c r="H101" s="26" t="s">
        <v>251</v>
      </c>
      <c r="I101" s="26" t="s">
        <v>224</v>
      </c>
      <c r="J101" s="26">
        <v>1400</v>
      </c>
      <c r="L101" s="26" t="s">
        <v>229</v>
      </c>
      <c r="M101" s="26">
        <v>110</v>
      </c>
      <c r="N101" s="45">
        <f t="shared" si="1"/>
        <v>1</v>
      </c>
    </row>
    <row r="102" spans="1:14" x14ac:dyDescent="0.25">
      <c r="A102" s="26" t="s">
        <v>139</v>
      </c>
      <c r="B102" s="26" t="s">
        <v>182</v>
      </c>
      <c r="C102" s="26">
        <v>901.13</v>
      </c>
      <c r="D102" s="26" t="s">
        <v>182</v>
      </c>
      <c r="E102" s="26" t="s">
        <v>19</v>
      </c>
      <c r="F102" s="26" t="s">
        <v>188</v>
      </c>
      <c r="G102" s="26" t="s">
        <v>29</v>
      </c>
      <c r="H102" s="26" t="s">
        <v>233</v>
      </c>
      <c r="I102" s="26" t="s">
        <v>225</v>
      </c>
      <c r="J102" s="26">
        <v>760</v>
      </c>
      <c r="K102" s="26" t="s">
        <v>231</v>
      </c>
      <c r="L102" s="26" t="s">
        <v>229</v>
      </c>
      <c r="M102" s="26">
        <v>400</v>
      </c>
      <c r="N102" s="45">
        <f t="shared" si="1"/>
        <v>1</v>
      </c>
    </row>
    <row r="103" spans="1:14" x14ac:dyDescent="0.25">
      <c r="A103" s="26" t="s">
        <v>139</v>
      </c>
      <c r="B103" s="26" t="s">
        <v>182</v>
      </c>
      <c r="C103" s="26">
        <v>901.13</v>
      </c>
      <c r="D103" s="26" t="s">
        <v>182</v>
      </c>
      <c r="E103" s="26" t="s">
        <v>19</v>
      </c>
      <c r="F103" s="26" t="s">
        <v>189</v>
      </c>
      <c r="G103" s="26" t="s">
        <v>29</v>
      </c>
      <c r="H103" s="26" t="s">
        <v>234</v>
      </c>
      <c r="I103" s="26" t="s">
        <v>225</v>
      </c>
      <c r="J103" s="26">
        <v>7000</v>
      </c>
      <c r="L103" s="26" t="s">
        <v>229</v>
      </c>
      <c r="M103" s="26">
        <v>400</v>
      </c>
      <c r="N103" s="45">
        <f t="shared" si="1"/>
        <v>1</v>
      </c>
    </row>
    <row r="104" spans="1:14" x14ac:dyDescent="0.25">
      <c r="A104" s="26" t="s">
        <v>139</v>
      </c>
      <c r="B104" s="26" t="s">
        <v>182</v>
      </c>
      <c r="C104" s="26">
        <v>901.13</v>
      </c>
      <c r="D104" s="26" t="s">
        <v>182</v>
      </c>
      <c r="E104" s="26" t="s">
        <v>19</v>
      </c>
      <c r="F104" s="26" t="s">
        <v>190</v>
      </c>
      <c r="G104" s="26" t="s">
        <v>29</v>
      </c>
      <c r="H104" s="26" t="s">
        <v>235</v>
      </c>
      <c r="I104" s="26" t="s">
        <v>225</v>
      </c>
      <c r="J104" s="26">
        <v>9</v>
      </c>
      <c r="K104" s="26" t="s">
        <v>232</v>
      </c>
      <c r="L104" s="26" t="s">
        <v>229</v>
      </c>
      <c r="M104" s="26">
        <v>400</v>
      </c>
      <c r="N104" s="45">
        <f t="shared" si="1"/>
        <v>0</v>
      </c>
    </row>
    <row r="105" spans="1:14" x14ac:dyDescent="0.25">
      <c r="A105" s="26" t="s">
        <v>138</v>
      </c>
      <c r="B105" s="26" t="s">
        <v>182</v>
      </c>
      <c r="C105" s="26">
        <v>901.13</v>
      </c>
      <c r="D105" s="26" t="s">
        <v>182</v>
      </c>
      <c r="E105" s="26" t="s">
        <v>19</v>
      </c>
      <c r="F105" s="26" t="s">
        <v>191</v>
      </c>
      <c r="G105" s="26" t="s">
        <v>29</v>
      </c>
      <c r="H105" s="26" t="s">
        <v>236</v>
      </c>
      <c r="I105" s="26" t="s">
        <v>225</v>
      </c>
      <c r="J105" s="26">
        <v>21000</v>
      </c>
      <c r="L105" s="26" t="s">
        <v>229</v>
      </c>
      <c r="M105" s="26">
        <v>400</v>
      </c>
      <c r="N105" s="45">
        <f t="shared" si="1"/>
        <v>1</v>
      </c>
    </row>
    <row r="106" spans="1:14" x14ac:dyDescent="0.25">
      <c r="A106" s="26" t="s">
        <v>138</v>
      </c>
      <c r="B106" s="26" t="s">
        <v>182</v>
      </c>
      <c r="C106" s="26">
        <v>901.13</v>
      </c>
      <c r="D106" s="26" t="s">
        <v>182</v>
      </c>
      <c r="E106" s="26" t="s">
        <v>19</v>
      </c>
      <c r="F106" s="26" t="s">
        <v>192</v>
      </c>
      <c r="G106" s="26" t="s">
        <v>29</v>
      </c>
      <c r="H106" s="26" t="s">
        <v>237</v>
      </c>
      <c r="I106" s="26" t="s">
        <v>225</v>
      </c>
      <c r="J106" s="26">
        <v>4000</v>
      </c>
      <c r="K106" s="26" t="s">
        <v>231</v>
      </c>
      <c r="L106" s="26" t="s">
        <v>229</v>
      </c>
      <c r="M106" s="26">
        <v>400</v>
      </c>
      <c r="N106" s="45">
        <f t="shared" si="1"/>
        <v>1</v>
      </c>
    </row>
    <row r="107" spans="1:14" x14ac:dyDescent="0.25">
      <c r="A107" s="26" t="s">
        <v>138</v>
      </c>
      <c r="B107" s="26" t="s">
        <v>182</v>
      </c>
      <c r="C107" s="26">
        <v>901.13</v>
      </c>
      <c r="D107" s="26" t="s">
        <v>182</v>
      </c>
      <c r="E107" s="26" t="s">
        <v>19</v>
      </c>
      <c r="F107" s="26" t="s">
        <v>193</v>
      </c>
      <c r="G107" s="26" t="s">
        <v>29</v>
      </c>
      <c r="H107" s="26" t="s">
        <v>238</v>
      </c>
      <c r="I107" s="26" t="s">
        <v>225</v>
      </c>
      <c r="J107" s="26">
        <v>9</v>
      </c>
      <c r="K107" s="26" t="s">
        <v>232</v>
      </c>
      <c r="L107" s="26" t="s">
        <v>229</v>
      </c>
      <c r="M107" s="26">
        <v>400</v>
      </c>
      <c r="N107" s="45">
        <f t="shared" si="1"/>
        <v>0</v>
      </c>
    </row>
    <row r="108" spans="1:14" x14ac:dyDescent="0.25">
      <c r="A108" s="26" t="s">
        <v>138</v>
      </c>
      <c r="B108" s="26" t="s">
        <v>182</v>
      </c>
      <c r="C108" s="26">
        <v>901.13</v>
      </c>
      <c r="D108" s="26" t="s">
        <v>182</v>
      </c>
      <c r="E108" s="26" t="s">
        <v>19</v>
      </c>
      <c r="F108" s="26" t="s">
        <v>146</v>
      </c>
      <c r="G108" s="26" t="s">
        <v>29</v>
      </c>
      <c r="H108" s="26" t="s">
        <v>239</v>
      </c>
      <c r="I108" s="26" t="s">
        <v>225</v>
      </c>
      <c r="J108" s="26">
        <v>130</v>
      </c>
      <c r="L108" s="26" t="s">
        <v>229</v>
      </c>
      <c r="M108" s="26">
        <v>400</v>
      </c>
      <c r="N108" s="45">
        <f t="shared" si="1"/>
        <v>0</v>
      </c>
    </row>
    <row r="109" spans="1:14" x14ac:dyDescent="0.25">
      <c r="A109" s="26" t="s">
        <v>136</v>
      </c>
      <c r="B109" s="26" t="s">
        <v>182</v>
      </c>
      <c r="C109" s="26">
        <v>901.13</v>
      </c>
      <c r="D109" s="26" t="s">
        <v>182</v>
      </c>
      <c r="E109" s="26" t="s">
        <v>19</v>
      </c>
      <c r="F109" s="26" t="s">
        <v>187</v>
      </c>
      <c r="G109" s="26" t="s">
        <v>29</v>
      </c>
      <c r="H109" s="26" t="s">
        <v>240</v>
      </c>
      <c r="I109" s="26" t="s">
        <v>225</v>
      </c>
      <c r="J109" s="26">
        <v>800</v>
      </c>
      <c r="K109" s="26" t="s">
        <v>231</v>
      </c>
      <c r="L109" s="26" t="s">
        <v>229</v>
      </c>
      <c r="M109" s="26">
        <v>400</v>
      </c>
      <c r="N109" s="45">
        <f t="shared" si="1"/>
        <v>1</v>
      </c>
    </row>
    <row r="110" spans="1:14" x14ac:dyDescent="0.25">
      <c r="A110" s="26" t="s">
        <v>110</v>
      </c>
      <c r="B110" s="26" t="s">
        <v>108</v>
      </c>
      <c r="C110" s="26">
        <v>901.27</v>
      </c>
      <c r="D110" s="26" t="s">
        <v>135</v>
      </c>
      <c r="E110" s="26" t="s">
        <v>19</v>
      </c>
      <c r="F110" s="26" t="s">
        <v>196</v>
      </c>
      <c r="G110" s="26" t="s">
        <v>29</v>
      </c>
      <c r="H110" s="26" t="s">
        <v>241</v>
      </c>
      <c r="I110" s="26" t="s">
        <v>225</v>
      </c>
      <c r="J110" s="26">
        <v>14900</v>
      </c>
      <c r="K110" s="26" t="s">
        <v>231</v>
      </c>
      <c r="L110" s="26" t="s">
        <v>229</v>
      </c>
      <c r="M110" s="26">
        <v>400</v>
      </c>
      <c r="N110" s="45">
        <f t="shared" si="1"/>
        <v>1</v>
      </c>
    </row>
    <row r="111" spans="1:14" x14ac:dyDescent="0.25">
      <c r="A111" s="26" t="s">
        <v>136</v>
      </c>
      <c r="B111" s="26" t="s">
        <v>182</v>
      </c>
      <c r="C111" s="26">
        <v>901.13</v>
      </c>
      <c r="D111" s="26" t="s">
        <v>182</v>
      </c>
      <c r="E111" s="26" t="s">
        <v>19</v>
      </c>
      <c r="F111" s="26" t="s">
        <v>187</v>
      </c>
      <c r="G111" s="26" t="s">
        <v>29</v>
      </c>
      <c r="H111" s="26" t="s">
        <v>242</v>
      </c>
      <c r="I111" s="26" t="s">
        <v>225</v>
      </c>
      <c r="J111" s="26">
        <v>1100</v>
      </c>
      <c r="K111" s="26" t="s">
        <v>231</v>
      </c>
      <c r="L111" s="26" t="s">
        <v>229</v>
      </c>
      <c r="M111" s="26">
        <v>400</v>
      </c>
      <c r="N111" s="45">
        <f t="shared" si="1"/>
        <v>1</v>
      </c>
    </row>
    <row r="112" spans="1:14" x14ac:dyDescent="0.25">
      <c r="A112" s="26" t="s">
        <v>139</v>
      </c>
      <c r="B112" s="26" t="s">
        <v>182</v>
      </c>
      <c r="C112" s="26">
        <v>901.13</v>
      </c>
      <c r="D112" s="26" t="s">
        <v>182</v>
      </c>
      <c r="E112" s="26" t="s">
        <v>19</v>
      </c>
      <c r="F112" s="26" t="s">
        <v>188</v>
      </c>
      <c r="G112" s="26" t="s">
        <v>29</v>
      </c>
      <c r="H112" s="26" t="s">
        <v>243</v>
      </c>
      <c r="I112" s="26" t="s">
        <v>225</v>
      </c>
      <c r="J112" s="26">
        <v>220</v>
      </c>
      <c r="K112" s="26" t="s">
        <v>231</v>
      </c>
      <c r="L112" s="26" t="s">
        <v>229</v>
      </c>
      <c r="M112" s="26">
        <v>400</v>
      </c>
      <c r="N112" s="45">
        <f t="shared" si="1"/>
        <v>0</v>
      </c>
    </row>
    <row r="113" spans="1:14" x14ac:dyDescent="0.25">
      <c r="A113" s="26" t="s">
        <v>139</v>
      </c>
      <c r="B113" s="26" t="s">
        <v>182</v>
      </c>
      <c r="C113" s="26">
        <v>901.13</v>
      </c>
      <c r="D113" s="26" t="s">
        <v>182</v>
      </c>
      <c r="E113" s="26" t="s">
        <v>19</v>
      </c>
      <c r="F113" s="26" t="s">
        <v>189</v>
      </c>
      <c r="G113" s="26" t="s">
        <v>29</v>
      </c>
      <c r="H113" s="26" t="s">
        <v>244</v>
      </c>
      <c r="I113" s="26" t="s">
        <v>225</v>
      </c>
      <c r="J113" s="26">
        <v>90</v>
      </c>
      <c r="K113" s="26" t="s">
        <v>231</v>
      </c>
      <c r="L113" s="26" t="s">
        <v>229</v>
      </c>
      <c r="M113" s="26">
        <v>400</v>
      </c>
      <c r="N113" s="45">
        <f t="shared" si="1"/>
        <v>0</v>
      </c>
    </row>
    <row r="114" spans="1:14" x14ac:dyDescent="0.25">
      <c r="A114" s="26" t="s">
        <v>139</v>
      </c>
      <c r="B114" s="26" t="s">
        <v>182</v>
      </c>
      <c r="C114" s="26">
        <v>901.13</v>
      </c>
      <c r="D114" s="26" t="s">
        <v>182</v>
      </c>
      <c r="E114" s="26" t="s">
        <v>19</v>
      </c>
      <c r="F114" s="26" t="s">
        <v>190</v>
      </c>
      <c r="G114" s="26" t="s">
        <v>29</v>
      </c>
      <c r="H114" s="26" t="s">
        <v>245</v>
      </c>
      <c r="I114" s="26" t="s">
        <v>225</v>
      </c>
      <c r="J114" s="26">
        <v>30</v>
      </c>
      <c r="L114" s="26" t="s">
        <v>229</v>
      </c>
      <c r="M114" s="26">
        <v>400</v>
      </c>
      <c r="N114" s="45">
        <f t="shared" si="1"/>
        <v>0</v>
      </c>
    </row>
    <row r="115" spans="1:14" x14ac:dyDescent="0.25">
      <c r="A115" s="26" t="s">
        <v>138</v>
      </c>
      <c r="B115" s="26" t="s">
        <v>182</v>
      </c>
      <c r="C115" s="26">
        <v>901.13</v>
      </c>
      <c r="D115" s="26" t="s">
        <v>182</v>
      </c>
      <c r="E115" s="26" t="s">
        <v>19</v>
      </c>
      <c r="F115" s="26" t="s">
        <v>146</v>
      </c>
      <c r="G115" s="26" t="s">
        <v>29</v>
      </c>
      <c r="H115" s="26" t="s">
        <v>246</v>
      </c>
      <c r="I115" s="26" t="s">
        <v>225</v>
      </c>
      <c r="J115" s="26">
        <v>2600</v>
      </c>
      <c r="L115" s="26" t="s">
        <v>229</v>
      </c>
      <c r="M115" s="26">
        <v>400</v>
      </c>
      <c r="N115" s="45">
        <f t="shared" si="1"/>
        <v>1</v>
      </c>
    </row>
    <row r="116" spans="1:14" x14ac:dyDescent="0.25">
      <c r="A116" s="26" t="s">
        <v>110</v>
      </c>
      <c r="B116" s="26" t="s">
        <v>108</v>
      </c>
      <c r="C116" s="26">
        <v>901.27</v>
      </c>
      <c r="D116" s="26" t="s">
        <v>135</v>
      </c>
      <c r="E116" s="26" t="s">
        <v>19</v>
      </c>
      <c r="F116" s="26" t="s">
        <v>98</v>
      </c>
      <c r="G116" s="26" t="s">
        <v>29</v>
      </c>
      <c r="H116" s="26" t="s">
        <v>247</v>
      </c>
      <c r="I116" s="26" t="s">
        <v>225</v>
      </c>
      <c r="J116" s="26">
        <v>600</v>
      </c>
      <c r="K116" s="26" t="s">
        <v>231</v>
      </c>
      <c r="L116" s="26" t="s">
        <v>229</v>
      </c>
      <c r="M116" s="26">
        <v>400</v>
      </c>
      <c r="N116" s="45">
        <f t="shared" si="1"/>
        <v>1</v>
      </c>
    </row>
    <row r="117" spans="1:14" x14ac:dyDescent="0.25">
      <c r="A117" s="26" t="s">
        <v>110</v>
      </c>
      <c r="B117" s="26" t="s">
        <v>108</v>
      </c>
      <c r="C117" s="26">
        <v>901.27</v>
      </c>
      <c r="D117" s="26" t="s">
        <v>135</v>
      </c>
      <c r="E117" s="26" t="s">
        <v>19</v>
      </c>
      <c r="F117" s="26" t="s">
        <v>196</v>
      </c>
      <c r="G117" s="26" t="s">
        <v>29</v>
      </c>
      <c r="H117" s="26" t="s">
        <v>248</v>
      </c>
      <c r="I117" s="26" t="s">
        <v>225</v>
      </c>
      <c r="J117" s="26">
        <v>5000</v>
      </c>
      <c r="K117" s="26" t="s">
        <v>231</v>
      </c>
      <c r="L117" s="26" t="s">
        <v>229</v>
      </c>
      <c r="M117" s="26">
        <v>400</v>
      </c>
      <c r="N117" s="45">
        <f t="shared" si="1"/>
        <v>1</v>
      </c>
    </row>
    <row r="118" spans="1:14" x14ac:dyDescent="0.25">
      <c r="A118" s="26" t="s">
        <v>138</v>
      </c>
      <c r="B118" s="26" t="s">
        <v>182</v>
      </c>
      <c r="C118" s="26">
        <v>901.13</v>
      </c>
      <c r="D118" s="26" t="s">
        <v>182</v>
      </c>
      <c r="E118" s="26" t="s">
        <v>19</v>
      </c>
      <c r="F118" s="26" t="s">
        <v>192</v>
      </c>
      <c r="G118" s="26" t="s">
        <v>29</v>
      </c>
      <c r="H118" s="26" t="s">
        <v>249</v>
      </c>
      <c r="I118" s="26" t="s">
        <v>225</v>
      </c>
      <c r="J118" s="26">
        <v>30000</v>
      </c>
      <c r="L118" s="26" t="s">
        <v>229</v>
      </c>
      <c r="M118" s="26">
        <v>400</v>
      </c>
      <c r="N118" s="45">
        <f t="shared" si="1"/>
        <v>1</v>
      </c>
    </row>
    <row r="119" spans="1:14" x14ac:dyDescent="0.25">
      <c r="A119" s="26" t="s">
        <v>138</v>
      </c>
      <c r="B119" s="26" t="s">
        <v>182</v>
      </c>
      <c r="C119" s="26">
        <v>901.13</v>
      </c>
      <c r="D119" s="26" t="s">
        <v>182</v>
      </c>
      <c r="E119" s="26" t="s">
        <v>19</v>
      </c>
      <c r="F119" s="26" t="s">
        <v>191</v>
      </c>
      <c r="G119" s="26" t="s">
        <v>29</v>
      </c>
      <c r="H119" s="26" t="s">
        <v>250</v>
      </c>
      <c r="I119" s="26" t="s">
        <v>225</v>
      </c>
      <c r="J119" s="26">
        <v>46000</v>
      </c>
      <c r="L119" s="26" t="s">
        <v>229</v>
      </c>
      <c r="M119" s="26">
        <v>400</v>
      </c>
      <c r="N119" s="45">
        <f t="shared" si="1"/>
        <v>1</v>
      </c>
    </row>
    <row r="120" spans="1:14" x14ac:dyDescent="0.25">
      <c r="A120" s="26" t="s">
        <v>138</v>
      </c>
      <c r="B120" s="26" t="s">
        <v>182</v>
      </c>
      <c r="C120" s="26">
        <v>901.13</v>
      </c>
      <c r="D120" s="26" t="s">
        <v>182</v>
      </c>
      <c r="E120" s="26" t="s">
        <v>19</v>
      </c>
      <c r="F120" s="26" t="s">
        <v>193</v>
      </c>
      <c r="G120" s="26" t="s">
        <v>29</v>
      </c>
      <c r="H120" s="26" t="s">
        <v>251</v>
      </c>
      <c r="I120" s="26" t="s">
        <v>225</v>
      </c>
      <c r="J120" s="26">
        <v>1600</v>
      </c>
      <c r="L120" s="26" t="s">
        <v>229</v>
      </c>
      <c r="M120" s="26">
        <v>400</v>
      </c>
      <c r="N120" s="45">
        <f t="shared" si="1"/>
        <v>1</v>
      </c>
    </row>
    <row r="121" spans="1:14" x14ac:dyDescent="0.25">
      <c r="A121" s="26" t="s">
        <v>139</v>
      </c>
      <c r="B121" s="26" t="s">
        <v>182</v>
      </c>
      <c r="C121" s="26">
        <v>901.13</v>
      </c>
      <c r="D121" s="26" t="s">
        <v>182</v>
      </c>
      <c r="E121" s="26" t="s">
        <v>19</v>
      </c>
      <c r="F121" s="26" t="s">
        <v>188</v>
      </c>
      <c r="G121" s="26" t="s">
        <v>29</v>
      </c>
      <c r="H121" s="26" t="s">
        <v>233</v>
      </c>
      <c r="I121" s="26" t="s">
        <v>228</v>
      </c>
      <c r="J121" s="34">
        <v>60</v>
      </c>
      <c r="K121" s="26" t="s">
        <v>231</v>
      </c>
      <c r="L121" s="26" t="s">
        <v>229</v>
      </c>
      <c r="M121" s="26">
        <v>320</v>
      </c>
      <c r="N121" s="45">
        <f t="shared" si="1"/>
        <v>0</v>
      </c>
    </row>
    <row r="122" spans="1:14" x14ac:dyDescent="0.25">
      <c r="A122" s="26" t="s">
        <v>139</v>
      </c>
      <c r="B122" s="26" t="s">
        <v>182</v>
      </c>
      <c r="C122" s="26">
        <v>901.13</v>
      </c>
      <c r="D122" s="26" t="s">
        <v>182</v>
      </c>
      <c r="E122" s="26" t="s">
        <v>19</v>
      </c>
      <c r="F122" s="26" t="s">
        <v>189</v>
      </c>
      <c r="G122" s="26" t="s">
        <v>29</v>
      </c>
      <c r="H122" s="26" t="s">
        <v>234</v>
      </c>
      <c r="I122" s="26" t="s">
        <v>228</v>
      </c>
      <c r="J122" s="35">
        <v>2900</v>
      </c>
      <c r="L122" s="26" t="s">
        <v>229</v>
      </c>
      <c r="M122" s="26">
        <v>320</v>
      </c>
      <c r="N122" s="45">
        <f t="shared" si="1"/>
        <v>1</v>
      </c>
    </row>
    <row r="123" spans="1:14" x14ac:dyDescent="0.25">
      <c r="A123" s="26" t="s">
        <v>139</v>
      </c>
      <c r="B123" s="26" t="s">
        <v>182</v>
      </c>
      <c r="C123" s="26">
        <v>901.13</v>
      </c>
      <c r="D123" s="26" t="s">
        <v>182</v>
      </c>
      <c r="E123" s="26" t="s">
        <v>19</v>
      </c>
      <c r="F123" s="26" t="s">
        <v>190</v>
      </c>
      <c r="G123" s="26" t="s">
        <v>29</v>
      </c>
      <c r="H123" s="26" t="s">
        <v>235</v>
      </c>
      <c r="I123" s="26" t="s">
        <v>228</v>
      </c>
      <c r="J123" s="34">
        <v>9</v>
      </c>
      <c r="K123" s="26" t="s">
        <v>232</v>
      </c>
      <c r="L123" s="26" t="s">
        <v>229</v>
      </c>
      <c r="M123" s="26">
        <v>320</v>
      </c>
      <c r="N123" s="45">
        <f t="shared" si="1"/>
        <v>0</v>
      </c>
    </row>
    <row r="124" spans="1:14" x14ac:dyDescent="0.25">
      <c r="A124" s="26" t="s">
        <v>138</v>
      </c>
      <c r="B124" s="26" t="s">
        <v>182</v>
      </c>
      <c r="C124" s="26">
        <v>901.13</v>
      </c>
      <c r="D124" s="26" t="s">
        <v>182</v>
      </c>
      <c r="E124" s="26" t="s">
        <v>19</v>
      </c>
      <c r="F124" s="26" t="s">
        <v>191</v>
      </c>
      <c r="G124" s="26" t="s">
        <v>29</v>
      </c>
      <c r="H124" s="26" t="s">
        <v>236</v>
      </c>
      <c r="I124" s="26" t="s">
        <v>228</v>
      </c>
      <c r="J124" s="35">
        <v>10700</v>
      </c>
      <c r="L124" s="26" t="s">
        <v>229</v>
      </c>
      <c r="M124" s="26">
        <v>320</v>
      </c>
      <c r="N124" s="45">
        <f t="shared" si="1"/>
        <v>1</v>
      </c>
    </row>
    <row r="125" spans="1:14" x14ac:dyDescent="0.25">
      <c r="A125" s="26" t="s">
        <v>138</v>
      </c>
      <c r="B125" s="26" t="s">
        <v>182</v>
      </c>
      <c r="C125" s="26">
        <v>901.13</v>
      </c>
      <c r="D125" s="26" t="s">
        <v>182</v>
      </c>
      <c r="E125" s="26" t="s">
        <v>19</v>
      </c>
      <c r="F125" s="26" t="s">
        <v>192</v>
      </c>
      <c r="G125" s="26" t="s">
        <v>29</v>
      </c>
      <c r="H125" s="26" t="s">
        <v>237</v>
      </c>
      <c r="I125" s="26" t="s">
        <v>228</v>
      </c>
      <c r="J125" s="35">
        <v>48000</v>
      </c>
      <c r="L125" s="26" t="s">
        <v>229</v>
      </c>
      <c r="M125" s="26">
        <v>320</v>
      </c>
      <c r="N125" s="45">
        <f t="shared" si="1"/>
        <v>1</v>
      </c>
    </row>
    <row r="126" spans="1:14" x14ac:dyDescent="0.25">
      <c r="A126" s="26" t="s">
        <v>138</v>
      </c>
      <c r="B126" s="26" t="s">
        <v>182</v>
      </c>
      <c r="C126" s="26">
        <v>901.13</v>
      </c>
      <c r="D126" s="26" t="s">
        <v>182</v>
      </c>
      <c r="E126" s="26" t="s">
        <v>19</v>
      </c>
      <c r="F126" s="26" t="s">
        <v>193</v>
      </c>
      <c r="G126" s="26" t="s">
        <v>29</v>
      </c>
      <c r="H126" s="26" t="s">
        <v>238</v>
      </c>
      <c r="I126" s="26" t="s">
        <v>228</v>
      </c>
      <c r="J126" s="34">
        <v>9</v>
      </c>
      <c r="K126" s="26" t="s">
        <v>232</v>
      </c>
      <c r="L126" s="26" t="s">
        <v>229</v>
      </c>
      <c r="M126" s="26">
        <v>320</v>
      </c>
      <c r="N126" s="45">
        <f t="shared" si="1"/>
        <v>0</v>
      </c>
    </row>
    <row r="127" spans="1:14" x14ac:dyDescent="0.25">
      <c r="A127" s="26" t="s">
        <v>138</v>
      </c>
      <c r="B127" s="26" t="s">
        <v>182</v>
      </c>
      <c r="C127" s="26">
        <v>901.13</v>
      </c>
      <c r="D127" s="26" t="s">
        <v>182</v>
      </c>
      <c r="E127" s="26" t="s">
        <v>19</v>
      </c>
      <c r="F127" s="26" t="s">
        <v>146</v>
      </c>
      <c r="G127" s="26" t="s">
        <v>29</v>
      </c>
      <c r="H127" s="26" t="s">
        <v>239</v>
      </c>
      <c r="I127" s="26" t="s">
        <v>228</v>
      </c>
      <c r="J127" s="35">
        <v>120</v>
      </c>
      <c r="L127" s="26" t="s">
        <v>229</v>
      </c>
      <c r="M127" s="26">
        <v>320</v>
      </c>
      <c r="N127" s="45">
        <f t="shared" si="1"/>
        <v>0</v>
      </c>
    </row>
    <row r="128" spans="1:14" x14ac:dyDescent="0.25">
      <c r="A128" s="26" t="s">
        <v>136</v>
      </c>
      <c r="B128" s="26" t="s">
        <v>182</v>
      </c>
      <c r="C128" s="26">
        <v>901.13</v>
      </c>
      <c r="D128" s="26" t="s">
        <v>182</v>
      </c>
      <c r="E128" s="26" t="s">
        <v>19</v>
      </c>
      <c r="F128" s="26" t="s">
        <v>187</v>
      </c>
      <c r="G128" s="26" t="s">
        <v>29</v>
      </c>
      <c r="H128" s="26" t="s">
        <v>240</v>
      </c>
      <c r="I128" s="26" t="s">
        <v>228</v>
      </c>
      <c r="J128" s="34">
        <v>360</v>
      </c>
      <c r="K128" s="26" t="s">
        <v>231</v>
      </c>
      <c r="L128" s="26" t="s">
        <v>229</v>
      </c>
      <c r="M128" s="26">
        <v>320</v>
      </c>
      <c r="N128" s="45">
        <f t="shared" si="1"/>
        <v>1</v>
      </c>
    </row>
    <row r="129" spans="1:14" x14ac:dyDescent="0.25">
      <c r="A129" s="26" t="s">
        <v>110</v>
      </c>
      <c r="B129" s="26" t="s">
        <v>108</v>
      </c>
      <c r="C129" s="26">
        <v>901.27</v>
      </c>
      <c r="D129" s="26" t="s">
        <v>135</v>
      </c>
      <c r="E129" s="26" t="s">
        <v>19</v>
      </c>
      <c r="F129" s="26" t="s">
        <v>196</v>
      </c>
      <c r="G129" s="26" t="s">
        <v>29</v>
      </c>
      <c r="H129" s="26" t="s">
        <v>241</v>
      </c>
      <c r="I129" s="26" t="s">
        <v>228</v>
      </c>
      <c r="J129" s="34">
        <v>780</v>
      </c>
      <c r="K129" s="26" t="s">
        <v>231</v>
      </c>
      <c r="L129" s="26" t="s">
        <v>229</v>
      </c>
      <c r="M129" s="26">
        <v>320</v>
      </c>
      <c r="N129" s="45">
        <f t="shared" si="1"/>
        <v>1</v>
      </c>
    </row>
    <row r="130" spans="1:14" x14ac:dyDescent="0.25">
      <c r="A130" s="26" t="s">
        <v>136</v>
      </c>
      <c r="B130" s="26" t="s">
        <v>182</v>
      </c>
      <c r="C130" s="26">
        <v>901.13</v>
      </c>
      <c r="D130" s="26" t="s">
        <v>182</v>
      </c>
      <c r="E130" s="26" t="s">
        <v>19</v>
      </c>
      <c r="F130" s="26" t="s">
        <v>187</v>
      </c>
      <c r="G130" s="26" t="s">
        <v>29</v>
      </c>
      <c r="H130" s="26" t="s">
        <v>242</v>
      </c>
      <c r="I130" s="26" t="s">
        <v>228</v>
      </c>
      <c r="J130" s="36">
        <v>950</v>
      </c>
      <c r="K130" s="26" t="s">
        <v>231</v>
      </c>
      <c r="L130" s="26" t="s">
        <v>229</v>
      </c>
      <c r="M130" s="26">
        <v>320</v>
      </c>
      <c r="N130" s="45">
        <f t="shared" si="1"/>
        <v>1</v>
      </c>
    </row>
    <row r="131" spans="1:14" x14ac:dyDescent="0.25">
      <c r="A131" s="26" t="s">
        <v>139</v>
      </c>
      <c r="B131" s="26" t="s">
        <v>182</v>
      </c>
      <c r="C131" s="26">
        <v>901.13</v>
      </c>
      <c r="D131" s="26" t="s">
        <v>182</v>
      </c>
      <c r="E131" s="26" t="s">
        <v>19</v>
      </c>
      <c r="F131" s="26" t="s">
        <v>188</v>
      </c>
      <c r="G131" s="26" t="s">
        <v>29</v>
      </c>
      <c r="H131" s="26" t="s">
        <v>243</v>
      </c>
      <c r="I131" s="26" t="s">
        <v>228</v>
      </c>
      <c r="J131" s="36">
        <v>250</v>
      </c>
      <c r="K131" s="26" t="s">
        <v>231</v>
      </c>
      <c r="L131" s="26" t="s">
        <v>229</v>
      </c>
      <c r="M131" s="26">
        <v>320</v>
      </c>
      <c r="N131" s="45">
        <f t="shared" ref="N131:N194" si="2">IF(J131&gt;M131, 1, 0)</f>
        <v>0</v>
      </c>
    </row>
    <row r="132" spans="1:14" x14ac:dyDescent="0.25">
      <c r="A132" s="26" t="s">
        <v>139</v>
      </c>
      <c r="B132" s="26" t="s">
        <v>182</v>
      </c>
      <c r="C132" s="26">
        <v>901.13</v>
      </c>
      <c r="D132" s="26" t="s">
        <v>182</v>
      </c>
      <c r="E132" s="26" t="s">
        <v>19</v>
      </c>
      <c r="F132" s="26" t="s">
        <v>189</v>
      </c>
      <c r="G132" s="26" t="s">
        <v>29</v>
      </c>
      <c r="H132" s="26" t="s">
        <v>244</v>
      </c>
      <c r="I132" s="26" t="s">
        <v>228</v>
      </c>
      <c r="J132" s="37">
        <v>270</v>
      </c>
      <c r="L132" s="26" t="s">
        <v>229</v>
      </c>
      <c r="M132" s="26">
        <v>320</v>
      </c>
      <c r="N132" s="45">
        <f t="shared" si="2"/>
        <v>0</v>
      </c>
    </row>
    <row r="133" spans="1:14" x14ac:dyDescent="0.25">
      <c r="A133" s="26" t="s">
        <v>139</v>
      </c>
      <c r="B133" s="26" t="s">
        <v>182</v>
      </c>
      <c r="C133" s="26">
        <v>901.13</v>
      </c>
      <c r="D133" s="26" t="s">
        <v>182</v>
      </c>
      <c r="E133" s="26" t="s">
        <v>19</v>
      </c>
      <c r="F133" s="26" t="s">
        <v>190</v>
      </c>
      <c r="G133" s="26" t="s">
        <v>29</v>
      </c>
      <c r="H133" s="26" t="s">
        <v>245</v>
      </c>
      <c r="I133" s="26" t="s">
        <v>228</v>
      </c>
      <c r="J133" s="36">
        <v>9</v>
      </c>
      <c r="K133" s="26" t="s">
        <v>232</v>
      </c>
      <c r="L133" s="26" t="s">
        <v>229</v>
      </c>
      <c r="M133" s="26">
        <v>320</v>
      </c>
      <c r="N133" s="45">
        <f t="shared" si="2"/>
        <v>0</v>
      </c>
    </row>
    <row r="134" spans="1:14" x14ac:dyDescent="0.25">
      <c r="A134" s="26" t="s">
        <v>138</v>
      </c>
      <c r="B134" s="26" t="s">
        <v>182</v>
      </c>
      <c r="C134" s="26">
        <v>901.13</v>
      </c>
      <c r="D134" s="26" t="s">
        <v>182</v>
      </c>
      <c r="E134" s="26" t="s">
        <v>19</v>
      </c>
      <c r="F134" s="26" t="s">
        <v>146</v>
      </c>
      <c r="G134" s="26" t="s">
        <v>29</v>
      </c>
      <c r="H134" s="26" t="s">
        <v>246</v>
      </c>
      <c r="I134" s="26" t="s">
        <v>228</v>
      </c>
      <c r="J134" s="37">
        <v>540</v>
      </c>
      <c r="L134" s="26" t="s">
        <v>229</v>
      </c>
      <c r="M134" s="26">
        <v>320</v>
      </c>
      <c r="N134" s="45">
        <f t="shared" si="2"/>
        <v>1</v>
      </c>
    </row>
    <row r="135" spans="1:14" x14ac:dyDescent="0.25">
      <c r="A135" s="26" t="s">
        <v>110</v>
      </c>
      <c r="B135" s="26" t="s">
        <v>108</v>
      </c>
      <c r="C135" s="26">
        <v>901.27</v>
      </c>
      <c r="D135" s="26" t="s">
        <v>135</v>
      </c>
      <c r="E135" s="26" t="s">
        <v>19</v>
      </c>
      <c r="F135" s="26" t="s">
        <v>98</v>
      </c>
      <c r="G135" s="26" t="s">
        <v>29</v>
      </c>
      <c r="H135" s="26" t="s">
        <v>247</v>
      </c>
      <c r="I135" s="26" t="s">
        <v>228</v>
      </c>
      <c r="J135" s="36">
        <v>540</v>
      </c>
      <c r="K135" s="26" t="s">
        <v>231</v>
      </c>
      <c r="L135" s="26" t="s">
        <v>229</v>
      </c>
      <c r="M135" s="26">
        <v>320</v>
      </c>
      <c r="N135" s="45">
        <f t="shared" si="2"/>
        <v>1</v>
      </c>
    </row>
    <row r="136" spans="1:14" x14ac:dyDescent="0.25">
      <c r="A136" s="26" t="s">
        <v>110</v>
      </c>
      <c r="B136" s="26" t="s">
        <v>108</v>
      </c>
      <c r="C136" s="26">
        <v>901.27</v>
      </c>
      <c r="D136" s="26" t="s">
        <v>135</v>
      </c>
      <c r="E136" s="26" t="s">
        <v>19</v>
      </c>
      <c r="F136" s="26" t="s">
        <v>196</v>
      </c>
      <c r="G136" s="26" t="s">
        <v>29</v>
      </c>
      <c r="H136" s="26" t="s">
        <v>248</v>
      </c>
      <c r="I136" s="26" t="s">
        <v>228</v>
      </c>
      <c r="J136" s="37">
        <v>2800</v>
      </c>
      <c r="L136" s="26" t="s">
        <v>229</v>
      </c>
      <c r="M136" s="26">
        <v>320</v>
      </c>
      <c r="N136" s="45">
        <f t="shared" si="2"/>
        <v>1</v>
      </c>
    </row>
    <row r="137" spans="1:14" x14ac:dyDescent="0.25">
      <c r="A137" s="26" t="s">
        <v>138</v>
      </c>
      <c r="B137" s="26" t="s">
        <v>182</v>
      </c>
      <c r="C137" s="26">
        <v>901.13</v>
      </c>
      <c r="D137" s="26" t="s">
        <v>182</v>
      </c>
      <c r="E137" s="26" t="s">
        <v>19</v>
      </c>
      <c r="F137" s="26" t="s">
        <v>192</v>
      </c>
      <c r="G137" s="26" t="s">
        <v>29</v>
      </c>
      <c r="H137" s="26" t="s">
        <v>249</v>
      </c>
      <c r="I137" s="26" t="s">
        <v>228</v>
      </c>
      <c r="J137" s="37">
        <v>8800</v>
      </c>
      <c r="L137" s="26" t="s">
        <v>229</v>
      </c>
      <c r="M137" s="26">
        <v>320</v>
      </c>
      <c r="N137" s="45">
        <f t="shared" si="2"/>
        <v>1</v>
      </c>
    </row>
    <row r="138" spans="1:14" x14ac:dyDescent="0.25">
      <c r="A138" s="26" t="s">
        <v>138</v>
      </c>
      <c r="B138" s="26" t="s">
        <v>182</v>
      </c>
      <c r="C138" s="26">
        <v>901.13</v>
      </c>
      <c r="D138" s="26" t="s">
        <v>182</v>
      </c>
      <c r="E138" s="26" t="s">
        <v>19</v>
      </c>
      <c r="F138" s="26" t="s">
        <v>191</v>
      </c>
      <c r="G138" s="26" t="s">
        <v>29</v>
      </c>
      <c r="H138" s="26" t="s">
        <v>250</v>
      </c>
      <c r="I138" s="26" t="s">
        <v>228</v>
      </c>
      <c r="J138" s="37">
        <v>9200</v>
      </c>
      <c r="L138" s="26" t="s">
        <v>229</v>
      </c>
      <c r="M138" s="26">
        <v>320</v>
      </c>
      <c r="N138" s="45">
        <f t="shared" si="2"/>
        <v>1</v>
      </c>
    </row>
    <row r="139" spans="1:14" x14ac:dyDescent="0.25">
      <c r="A139" s="26" t="s">
        <v>138</v>
      </c>
      <c r="B139" s="26" t="s">
        <v>182</v>
      </c>
      <c r="C139" s="26">
        <v>901.13</v>
      </c>
      <c r="D139" s="26" t="s">
        <v>182</v>
      </c>
      <c r="E139" s="26" t="s">
        <v>19</v>
      </c>
      <c r="F139" s="26" t="s">
        <v>193</v>
      </c>
      <c r="G139" s="26" t="s">
        <v>29</v>
      </c>
      <c r="H139" s="26" t="s">
        <v>251</v>
      </c>
      <c r="I139" s="26" t="s">
        <v>228</v>
      </c>
      <c r="J139" s="37">
        <v>140</v>
      </c>
      <c r="L139" s="26" t="s">
        <v>229</v>
      </c>
      <c r="M139" s="26">
        <v>320</v>
      </c>
      <c r="N139" s="45">
        <f t="shared" si="2"/>
        <v>0</v>
      </c>
    </row>
    <row r="140" spans="1:14" x14ac:dyDescent="0.25">
      <c r="A140" s="26" t="s">
        <v>138</v>
      </c>
      <c r="B140" s="26" t="s">
        <v>182</v>
      </c>
      <c r="C140" s="26">
        <v>901.13</v>
      </c>
      <c r="D140" s="26" t="s">
        <v>182</v>
      </c>
      <c r="E140" s="26" t="s">
        <v>19</v>
      </c>
      <c r="F140" s="38" t="s">
        <v>192</v>
      </c>
      <c r="G140" s="26" t="s">
        <v>20</v>
      </c>
      <c r="H140" s="39">
        <v>44342.31527777778</v>
      </c>
      <c r="I140" s="26" t="s">
        <v>224</v>
      </c>
      <c r="J140" s="38">
        <v>5000</v>
      </c>
      <c r="L140" s="26" t="s">
        <v>229</v>
      </c>
      <c r="M140" s="26">
        <v>110</v>
      </c>
      <c r="N140" s="45">
        <f t="shared" si="2"/>
        <v>1</v>
      </c>
    </row>
    <row r="141" spans="1:14" x14ac:dyDescent="0.25">
      <c r="A141" s="26" t="s">
        <v>138</v>
      </c>
      <c r="B141" s="26" t="s">
        <v>182</v>
      </c>
      <c r="C141" s="26">
        <v>901.13</v>
      </c>
      <c r="D141" s="26" t="s">
        <v>182</v>
      </c>
      <c r="E141" s="26" t="s">
        <v>19</v>
      </c>
      <c r="F141" s="38" t="s">
        <v>191</v>
      </c>
      <c r="G141" s="26" t="s">
        <v>20</v>
      </c>
      <c r="H141" s="39">
        <v>44342.338194444441</v>
      </c>
      <c r="I141" s="26" t="s">
        <v>224</v>
      </c>
      <c r="J141" s="38">
        <v>10900</v>
      </c>
      <c r="L141" s="26" t="s">
        <v>229</v>
      </c>
      <c r="M141" s="26">
        <v>110</v>
      </c>
      <c r="N141" s="45">
        <f t="shared" si="2"/>
        <v>1</v>
      </c>
    </row>
    <row r="142" spans="1:14" x14ac:dyDescent="0.25">
      <c r="A142" s="26" t="s">
        <v>138</v>
      </c>
      <c r="B142" s="26" t="s">
        <v>182</v>
      </c>
      <c r="C142" s="26">
        <v>901.13</v>
      </c>
      <c r="D142" s="26" t="s">
        <v>182</v>
      </c>
      <c r="E142" s="26" t="s">
        <v>19</v>
      </c>
      <c r="F142" s="38" t="s">
        <v>193</v>
      </c>
      <c r="G142" s="26" t="s">
        <v>20</v>
      </c>
      <c r="H142" s="39">
        <v>44342.37777777778</v>
      </c>
      <c r="I142" s="26" t="s">
        <v>224</v>
      </c>
      <c r="J142" s="38" t="s">
        <v>252</v>
      </c>
      <c r="K142" s="26" t="s">
        <v>231</v>
      </c>
      <c r="L142" s="26" t="s">
        <v>229</v>
      </c>
      <c r="M142" s="26">
        <v>110</v>
      </c>
      <c r="N142" s="45">
        <f t="shared" si="2"/>
        <v>1</v>
      </c>
    </row>
    <row r="143" spans="1:14" x14ac:dyDescent="0.25">
      <c r="A143" s="26" t="s">
        <v>138</v>
      </c>
      <c r="B143" s="26" t="s">
        <v>182</v>
      </c>
      <c r="C143" s="26">
        <v>901.13</v>
      </c>
      <c r="D143" s="26" t="s">
        <v>182</v>
      </c>
      <c r="E143" s="26" t="s">
        <v>19</v>
      </c>
      <c r="F143" s="38" t="s">
        <v>146</v>
      </c>
      <c r="G143" s="26" t="s">
        <v>20</v>
      </c>
      <c r="H143" s="39">
        <v>44342.420138888891</v>
      </c>
      <c r="I143" s="26" t="s">
        <v>224</v>
      </c>
      <c r="J143" s="38">
        <v>60</v>
      </c>
      <c r="L143" s="26" t="s">
        <v>229</v>
      </c>
      <c r="M143" s="26">
        <v>110</v>
      </c>
      <c r="N143" s="45">
        <f t="shared" si="2"/>
        <v>0</v>
      </c>
    </row>
    <row r="144" spans="1:14" x14ac:dyDescent="0.25">
      <c r="A144" s="26" t="s">
        <v>136</v>
      </c>
      <c r="B144" s="26" t="s">
        <v>182</v>
      </c>
      <c r="C144" s="26">
        <v>901.13</v>
      </c>
      <c r="D144" s="26" t="s">
        <v>182</v>
      </c>
      <c r="E144" s="26" t="s">
        <v>19</v>
      </c>
      <c r="F144" s="38" t="s">
        <v>162</v>
      </c>
      <c r="G144" s="26" t="s">
        <v>20</v>
      </c>
      <c r="H144" s="39">
        <v>44343.381944444445</v>
      </c>
      <c r="I144" s="26" t="s">
        <v>224</v>
      </c>
      <c r="J144" s="38">
        <v>20</v>
      </c>
      <c r="L144" s="26" t="s">
        <v>229</v>
      </c>
      <c r="M144" s="26">
        <v>110</v>
      </c>
      <c r="N144" s="45">
        <f t="shared" si="2"/>
        <v>0</v>
      </c>
    </row>
    <row r="145" spans="1:14" x14ac:dyDescent="0.25">
      <c r="A145" s="26" t="s">
        <v>139</v>
      </c>
      <c r="B145" s="26" t="s">
        <v>182</v>
      </c>
      <c r="C145" s="26">
        <v>901.13</v>
      </c>
      <c r="D145" s="26" t="s">
        <v>182</v>
      </c>
      <c r="E145" s="26" t="s">
        <v>19</v>
      </c>
      <c r="F145" s="38" t="s">
        <v>188</v>
      </c>
      <c r="G145" s="26" t="s">
        <v>20</v>
      </c>
      <c r="H145" s="39">
        <v>44343.4375</v>
      </c>
      <c r="I145" s="26" t="s">
        <v>224</v>
      </c>
      <c r="J145" s="38">
        <v>50</v>
      </c>
      <c r="L145" s="26" t="s">
        <v>229</v>
      </c>
      <c r="M145" s="26">
        <v>110</v>
      </c>
      <c r="N145" s="45">
        <f t="shared" si="2"/>
        <v>0</v>
      </c>
    </row>
    <row r="146" spans="1:14" x14ac:dyDescent="0.25">
      <c r="A146" s="26" t="s">
        <v>136</v>
      </c>
      <c r="B146" s="26" t="s">
        <v>182</v>
      </c>
      <c r="C146" s="26">
        <v>901.13</v>
      </c>
      <c r="D146" s="26" t="s">
        <v>182</v>
      </c>
      <c r="E146" s="26" t="s">
        <v>19</v>
      </c>
      <c r="F146" s="38" t="s">
        <v>187</v>
      </c>
      <c r="G146" s="26" t="s">
        <v>20</v>
      </c>
      <c r="H146" s="39">
        <v>44343.443749999999</v>
      </c>
      <c r="I146" s="26" t="s">
        <v>224</v>
      </c>
      <c r="J146" s="38">
        <v>7100</v>
      </c>
      <c r="L146" s="26" t="s">
        <v>229</v>
      </c>
      <c r="M146" s="26">
        <v>110</v>
      </c>
      <c r="N146" s="45">
        <f t="shared" si="2"/>
        <v>1</v>
      </c>
    </row>
    <row r="147" spans="1:14" x14ac:dyDescent="0.25">
      <c r="A147" s="26" t="s">
        <v>139</v>
      </c>
      <c r="B147" s="26" t="s">
        <v>182</v>
      </c>
      <c r="C147" s="26">
        <v>901.13</v>
      </c>
      <c r="D147" s="26" t="s">
        <v>182</v>
      </c>
      <c r="E147" s="26" t="s">
        <v>19</v>
      </c>
      <c r="F147" s="38" t="s">
        <v>189</v>
      </c>
      <c r="G147" s="26" t="s">
        <v>20</v>
      </c>
      <c r="H147" s="39">
        <v>44343.46597222222</v>
      </c>
      <c r="I147" s="26" t="s">
        <v>224</v>
      </c>
      <c r="J147" s="38">
        <v>3100</v>
      </c>
      <c r="L147" s="26" t="s">
        <v>229</v>
      </c>
      <c r="M147" s="26">
        <v>110</v>
      </c>
      <c r="N147" s="45">
        <f t="shared" si="2"/>
        <v>1</v>
      </c>
    </row>
    <row r="148" spans="1:14" x14ac:dyDescent="0.25">
      <c r="A148" s="26" t="s">
        <v>139</v>
      </c>
      <c r="B148" s="26" t="s">
        <v>182</v>
      </c>
      <c r="C148" s="26">
        <v>901.13</v>
      </c>
      <c r="D148" s="26" t="s">
        <v>182</v>
      </c>
      <c r="E148" s="26" t="s">
        <v>19</v>
      </c>
      <c r="F148" s="38" t="s">
        <v>190</v>
      </c>
      <c r="G148" s="26" t="s">
        <v>20</v>
      </c>
      <c r="H148" s="39">
        <v>44343.488888888889</v>
      </c>
      <c r="I148" s="26" t="s">
        <v>224</v>
      </c>
      <c r="J148" s="38" t="s">
        <v>227</v>
      </c>
      <c r="K148" s="26" t="s">
        <v>232</v>
      </c>
      <c r="L148" s="26" t="s">
        <v>229</v>
      </c>
      <c r="M148" s="26">
        <v>110</v>
      </c>
      <c r="N148" s="45">
        <f t="shared" si="2"/>
        <v>1</v>
      </c>
    </row>
    <row r="149" spans="1:14" x14ac:dyDescent="0.25">
      <c r="A149" s="26" t="s">
        <v>110</v>
      </c>
      <c r="B149" s="26" t="s">
        <v>108</v>
      </c>
      <c r="C149" s="26">
        <v>901.27</v>
      </c>
      <c r="D149" s="26" t="s">
        <v>135</v>
      </c>
      <c r="E149" s="26" t="s">
        <v>19</v>
      </c>
      <c r="F149" s="38" t="s">
        <v>196</v>
      </c>
      <c r="G149" s="26" t="s">
        <v>20</v>
      </c>
      <c r="H149" s="39">
        <v>44349.43472222222</v>
      </c>
      <c r="I149" s="26" t="s">
        <v>224</v>
      </c>
      <c r="J149" s="38">
        <v>200</v>
      </c>
      <c r="L149" s="26" t="s">
        <v>229</v>
      </c>
      <c r="M149" s="26">
        <v>110</v>
      </c>
      <c r="N149" s="45">
        <f t="shared" si="2"/>
        <v>1</v>
      </c>
    </row>
    <row r="150" spans="1:14" x14ac:dyDescent="0.25">
      <c r="A150" s="26" t="s">
        <v>110</v>
      </c>
      <c r="B150" s="26" t="s">
        <v>108</v>
      </c>
      <c r="C150" s="26">
        <v>901.27</v>
      </c>
      <c r="D150" s="26" t="s">
        <v>135</v>
      </c>
      <c r="E150" s="26" t="s">
        <v>19</v>
      </c>
      <c r="F150" s="40" t="s">
        <v>196</v>
      </c>
      <c r="G150" s="26" t="s">
        <v>20</v>
      </c>
      <c r="H150" s="41">
        <v>44440.357638888891</v>
      </c>
      <c r="I150" s="26" t="s">
        <v>224</v>
      </c>
      <c r="J150" s="40">
        <v>10000</v>
      </c>
      <c r="L150" s="26" t="s">
        <v>229</v>
      </c>
      <c r="M150" s="26">
        <v>110</v>
      </c>
      <c r="N150" s="45">
        <f t="shared" si="2"/>
        <v>1</v>
      </c>
    </row>
    <row r="151" spans="1:14" x14ac:dyDescent="0.25">
      <c r="A151" s="26" t="s">
        <v>136</v>
      </c>
      <c r="B151" s="26" t="s">
        <v>182</v>
      </c>
      <c r="C151" s="26">
        <v>901.13</v>
      </c>
      <c r="D151" s="26" t="s">
        <v>182</v>
      </c>
      <c r="E151" s="26" t="s">
        <v>19</v>
      </c>
      <c r="F151" s="40" t="s">
        <v>175</v>
      </c>
      <c r="G151" s="26" t="s">
        <v>20</v>
      </c>
      <c r="H151" s="41">
        <v>44446.321527777778</v>
      </c>
      <c r="I151" s="26" t="s">
        <v>224</v>
      </c>
      <c r="J151" s="40">
        <v>1800</v>
      </c>
      <c r="K151" s="26" t="s">
        <v>231</v>
      </c>
      <c r="L151" s="26" t="s">
        <v>229</v>
      </c>
      <c r="M151" s="26">
        <v>110</v>
      </c>
      <c r="N151" s="45">
        <f t="shared" si="2"/>
        <v>1</v>
      </c>
    </row>
    <row r="152" spans="1:14" x14ac:dyDescent="0.25">
      <c r="A152" s="26" t="s">
        <v>136</v>
      </c>
      <c r="B152" s="26" t="s">
        <v>182</v>
      </c>
      <c r="C152" s="26">
        <v>901.13</v>
      </c>
      <c r="D152" s="26" t="s">
        <v>182</v>
      </c>
      <c r="E152" s="26" t="s">
        <v>19</v>
      </c>
      <c r="F152" s="40" t="s">
        <v>153</v>
      </c>
      <c r="G152" s="26" t="s">
        <v>20</v>
      </c>
      <c r="H152" s="41">
        <v>44446.37222222222</v>
      </c>
      <c r="I152" s="26" t="s">
        <v>224</v>
      </c>
      <c r="J152" s="40">
        <v>38000</v>
      </c>
      <c r="L152" s="26" t="s">
        <v>229</v>
      </c>
      <c r="M152" s="26">
        <v>110</v>
      </c>
      <c r="N152" s="45">
        <f t="shared" si="2"/>
        <v>1</v>
      </c>
    </row>
    <row r="153" spans="1:14" x14ac:dyDescent="0.25">
      <c r="A153" s="26" t="s">
        <v>138</v>
      </c>
      <c r="B153" s="26" t="s">
        <v>182</v>
      </c>
      <c r="C153" s="26">
        <v>901.13</v>
      </c>
      <c r="D153" s="26" t="s">
        <v>182</v>
      </c>
      <c r="E153" s="26" t="s">
        <v>19</v>
      </c>
      <c r="F153" s="40" t="s">
        <v>193</v>
      </c>
      <c r="G153" s="26" t="s">
        <v>20</v>
      </c>
      <c r="H153" s="41">
        <v>44446.37777777778</v>
      </c>
      <c r="I153" s="26" t="s">
        <v>224</v>
      </c>
      <c r="J153" s="40">
        <v>590</v>
      </c>
      <c r="L153" s="26" t="s">
        <v>229</v>
      </c>
      <c r="M153" s="26">
        <v>110</v>
      </c>
      <c r="N153" s="45">
        <f t="shared" si="2"/>
        <v>1</v>
      </c>
    </row>
    <row r="154" spans="1:14" x14ac:dyDescent="0.25">
      <c r="A154" s="26" t="s">
        <v>138</v>
      </c>
      <c r="B154" s="26" t="s">
        <v>182</v>
      </c>
      <c r="C154" s="26">
        <v>901.13</v>
      </c>
      <c r="D154" s="26" t="s">
        <v>182</v>
      </c>
      <c r="E154" s="26" t="s">
        <v>19</v>
      </c>
      <c r="F154" s="40" t="s">
        <v>191</v>
      </c>
      <c r="G154" s="26" t="s">
        <v>20</v>
      </c>
      <c r="H154" s="41">
        <v>44446.40902777778</v>
      </c>
      <c r="I154" s="26" t="s">
        <v>224</v>
      </c>
      <c r="J154" s="40">
        <v>6900</v>
      </c>
      <c r="L154" s="26" t="s">
        <v>229</v>
      </c>
      <c r="M154" s="26">
        <v>110</v>
      </c>
      <c r="N154" s="45">
        <f t="shared" si="2"/>
        <v>1</v>
      </c>
    </row>
    <row r="155" spans="1:14" x14ac:dyDescent="0.25">
      <c r="A155" s="26" t="s">
        <v>136</v>
      </c>
      <c r="B155" s="26" t="s">
        <v>182</v>
      </c>
      <c r="C155" s="26">
        <v>901.13</v>
      </c>
      <c r="D155" s="26" t="s">
        <v>182</v>
      </c>
      <c r="E155" s="26" t="s">
        <v>19</v>
      </c>
      <c r="F155" s="40" t="s">
        <v>187</v>
      </c>
      <c r="G155" s="26" t="s">
        <v>20</v>
      </c>
      <c r="H155" s="41">
        <v>44446.434027777781</v>
      </c>
      <c r="I155" s="26" t="s">
        <v>224</v>
      </c>
      <c r="J155" s="40">
        <v>2500</v>
      </c>
      <c r="L155" s="26" t="s">
        <v>229</v>
      </c>
      <c r="M155" s="26">
        <v>110</v>
      </c>
      <c r="N155" s="45">
        <f t="shared" si="2"/>
        <v>1</v>
      </c>
    </row>
    <row r="156" spans="1:14" x14ac:dyDescent="0.25">
      <c r="A156" s="26" t="s">
        <v>138</v>
      </c>
      <c r="B156" s="26" t="s">
        <v>182</v>
      </c>
      <c r="C156" s="26">
        <v>901.13</v>
      </c>
      <c r="D156" s="26" t="s">
        <v>182</v>
      </c>
      <c r="E156" s="26" t="s">
        <v>19</v>
      </c>
      <c r="F156" s="40" t="s">
        <v>146</v>
      </c>
      <c r="G156" s="26" t="s">
        <v>20</v>
      </c>
      <c r="H156" s="41">
        <v>44446.457638888889</v>
      </c>
      <c r="I156" s="26" t="s">
        <v>224</v>
      </c>
      <c r="J156" s="40">
        <v>210</v>
      </c>
      <c r="L156" s="26" t="s">
        <v>229</v>
      </c>
      <c r="M156" s="26">
        <v>110</v>
      </c>
      <c r="N156" s="45">
        <f t="shared" si="2"/>
        <v>1</v>
      </c>
    </row>
    <row r="157" spans="1:14" x14ac:dyDescent="0.25">
      <c r="A157" s="26" t="s">
        <v>139</v>
      </c>
      <c r="B157" s="26" t="s">
        <v>182</v>
      </c>
      <c r="C157" s="26">
        <v>901.13</v>
      </c>
      <c r="D157" s="26" t="s">
        <v>182</v>
      </c>
      <c r="E157" s="26" t="s">
        <v>19</v>
      </c>
      <c r="F157" s="40" t="s">
        <v>189</v>
      </c>
      <c r="G157" s="26" t="s">
        <v>20</v>
      </c>
      <c r="H157" s="41">
        <v>44452.406944444447</v>
      </c>
      <c r="I157" s="26" t="s">
        <v>224</v>
      </c>
      <c r="J157" s="40">
        <v>290</v>
      </c>
      <c r="L157" s="26" t="s">
        <v>229</v>
      </c>
      <c r="M157" s="26">
        <v>110</v>
      </c>
      <c r="N157" s="45">
        <f t="shared" si="2"/>
        <v>1</v>
      </c>
    </row>
    <row r="158" spans="1:14" x14ac:dyDescent="0.25">
      <c r="A158" s="26" t="s">
        <v>139</v>
      </c>
      <c r="B158" s="26" t="s">
        <v>182</v>
      </c>
      <c r="C158" s="26">
        <v>901.13</v>
      </c>
      <c r="D158" s="26" t="s">
        <v>182</v>
      </c>
      <c r="E158" s="26" t="s">
        <v>19</v>
      </c>
      <c r="F158" s="40" t="s">
        <v>190</v>
      </c>
      <c r="G158" s="26" t="s">
        <v>20</v>
      </c>
      <c r="H158" s="41">
        <v>44452.428472222222</v>
      </c>
      <c r="I158" s="26" t="s">
        <v>224</v>
      </c>
      <c r="J158" s="40">
        <v>9</v>
      </c>
      <c r="K158" s="26" t="s">
        <v>232</v>
      </c>
      <c r="L158" s="26" t="s">
        <v>229</v>
      </c>
      <c r="M158" s="26">
        <v>110</v>
      </c>
      <c r="N158" s="45">
        <f t="shared" si="2"/>
        <v>0</v>
      </c>
    </row>
    <row r="159" spans="1:14" x14ac:dyDescent="0.25">
      <c r="A159" s="26" t="s">
        <v>139</v>
      </c>
      <c r="B159" s="26" t="s">
        <v>182</v>
      </c>
      <c r="C159" s="26">
        <v>901.13</v>
      </c>
      <c r="D159" s="26" t="s">
        <v>182</v>
      </c>
      <c r="E159" s="26" t="s">
        <v>19</v>
      </c>
      <c r="F159" s="40" t="s">
        <v>188</v>
      </c>
      <c r="G159" s="26" t="s">
        <v>20</v>
      </c>
      <c r="H159" s="41">
        <v>44452.456250000003</v>
      </c>
      <c r="I159" s="26" t="s">
        <v>224</v>
      </c>
      <c r="J159" s="40">
        <v>140</v>
      </c>
      <c r="K159" s="26" t="s">
        <v>231</v>
      </c>
      <c r="L159" s="26" t="s">
        <v>229</v>
      </c>
      <c r="M159" s="26">
        <v>110</v>
      </c>
      <c r="N159" s="45">
        <f t="shared" si="2"/>
        <v>1</v>
      </c>
    </row>
    <row r="160" spans="1:14" x14ac:dyDescent="0.25">
      <c r="A160" s="26" t="s">
        <v>138</v>
      </c>
      <c r="B160" s="26" t="s">
        <v>182</v>
      </c>
      <c r="C160" s="26">
        <v>901.13</v>
      </c>
      <c r="D160" s="26" t="s">
        <v>182</v>
      </c>
      <c r="E160" s="26" t="s">
        <v>19</v>
      </c>
      <c r="F160" s="40" t="s">
        <v>192</v>
      </c>
      <c r="G160" s="26" t="s">
        <v>20</v>
      </c>
      <c r="H160" s="41">
        <v>44455.402083333334</v>
      </c>
      <c r="I160" s="26" t="s">
        <v>224</v>
      </c>
      <c r="J160" s="40">
        <v>6100</v>
      </c>
      <c r="L160" s="26" t="s">
        <v>229</v>
      </c>
      <c r="M160" s="26">
        <v>110</v>
      </c>
      <c r="N160" s="45">
        <f t="shared" si="2"/>
        <v>1</v>
      </c>
    </row>
    <row r="161" spans="1:14" x14ac:dyDescent="0.25">
      <c r="A161" s="26" t="s">
        <v>138</v>
      </c>
      <c r="B161" s="26" t="s">
        <v>182</v>
      </c>
      <c r="C161" s="26">
        <v>901.13</v>
      </c>
      <c r="D161" s="26" t="s">
        <v>182</v>
      </c>
      <c r="E161" s="26" t="s">
        <v>19</v>
      </c>
      <c r="F161" s="38" t="s">
        <v>192</v>
      </c>
      <c r="G161" s="26" t="s">
        <v>20</v>
      </c>
      <c r="H161" s="39">
        <v>44342.31527777778</v>
      </c>
      <c r="I161" s="26" t="s">
        <v>225</v>
      </c>
      <c r="J161" s="38">
        <v>6100</v>
      </c>
      <c r="L161" s="26" t="s">
        <v>229</v>
      </c>
      <c r="M161" s="26">
        <v>400</v>
      </c>
      <c r="N161" s="45">
        <f t="shared" si="2"/>
        <v>1</v>
      </c>
    </row>
    <row r="162" spans="1:14" x14ac:dyDescent="0.25">
      <c r="A162" s="26" t="s">
        <v>138</v>
      </c>
      <c r="B162" s="26" t="s">
        <v>182</v>
      </c>
      <c r="C162" s="26">
        <v>901.13</v>
      </c>
      <c r="D162" s="26" t="s">
        <v>182</v>
      </c>
      <c r="E162" s="26" t="s">
        <v>19</v>
      </c>
      <c r="F162" s="38" t="s">
        <v>191</v>
      </c>
      <c r="G162" s="26" t="s">
        <v>20</v>
      </c>
      <c r="H162" s="39">
        <v>44342.338194444441</v>
      </c>
      <c r="I162" s="26" t="s">
        <v>225</v>
      </c>
      <c r="J162" s="38">
        <v>20000</v>
      </c>
      <c r="L162" s="26" t="s">
        <v>229</v>
      </c>
      <c r="M162" s="26">
        <v>400</v>
      </c>
      <c r="N162" s="45">
        <f t="shared" si="2"/>
        <v>1</v>
      </c>
    </row>
    <row r="163" spans="1:14" x14ac:dyDescent="0.25">
      <c r="A163" s="26" t="s">
        <v>138</v>
      </c>
      <c r="B163" s="26" t="s">
        <v>182</v>
      </c>
      <c r="C163" s="26">
        <v>901.13</v>
      </c>
      <c r="D163" s="26" t="s">
        <v>182</v>
      </c>
      <c r="E163" s="26" t="s">
        <v>19</v>
      </c>
      <c r="F163" s="38" t="s">
        <v>193</v>
      </c>
      <c r="G163" s="26" t="s">
        <v>20</v>
      </c>
      <c r="H163" s="39">
        <v>44342.37777777778</v>
      </c>
      <c r="I163" s="26" t="s">
        <v>225</v>
      </c>
      <c r="J163" s="38">
        <v>600</v>
      </c>
      <c r="L163" s="26" t="s">
        <v>229</v>
      </c>
      <c r="M163" s="26">
        <v>400</v>
      </c>
      <c r="N163" s="45">
        <f t="shared" si="2"/>
        <v>1</v>
      </c>
    </row>
    <row r="164" spans="1:14" x14ac:dyDescent="0.25">
      <c r="A164" s="26" t="s">
        <v>138</v>
      </c>
      <c r="B164" s="26" t="s">
        <v>182</v>
      </c>
      <c r="C164" s="26">
        <v>901.13</v>
      </c>
      <c r="D164" s="26" t="s">
        <v>182</v>
      </c>
      <c r="E164" s="26" t="s">
        <v>19</v>
      </c>
      <c r="F164" s="38" t="s">
        <v>146</v>
      </c>
      <c r="G164" s="26" t="s">
        <v>20</v>
      </c>
      <c r="H164" s="39">
        <v>44342.420138888891</v>
      </c>
      <c r="I164" s="26" t="s">
        <v>225</v>
      </c>
      <c r="J164" s="38">
        <v>80</v>
      </c>
      <c r="L164" s="26" t="s">
        <v>229</v>
      </c>
      <c r="M164" s="26">
        <v>400</v>
      </c>
      <c r="N164" s="45">
        <f t="shared" si="2"/>
        <v>0</v>
      </c>
    </row>
    <row r="165" spans="1:14" x14ac:dyDescent="0.25">
      <c r="A165" s="26" t="s">
        <v>136</v>
      </c>
      <c r="B165" s="26" t="s">
        <v>182</v>
      </c>
      <c r="C165" s="26">
        <v>901.13</v>
      </c>
      <c r="D165" s="26" t="s">
        <v>182</v>
      </c>
      <c r="E165" s="26" t="s">
        <v>19</v>
      </c>
      <c r="F165" s="38" t="s">
        <v>162</v>
      </c>
      <c r="G165" s="26" t="s">
        <v>20</v>
      </c>
      <c r="H165" s="39">
        <v>44343.381944444445</v>
      </c>
      <c r="I165" s="26" t="s">
        <v>225</v>
      </c>
      <c r="J165" s="38">
        <v>20</v>
      </c>
      <c r="L165" s="26" t="s">
        <v>229</v>
      </c>
      <c r="M165" s="26">
        <v>400</v>
      </c>
      <c r="N165" s="45">
        <f t="shared" si="2"/>
        <v>0</v>
      </c>
    </row>
    <row r="166" spans="1:14" x14ac:dyDescent="0.25">
      <c r="A166" s="26" t="s">
        <v>139</v>
      </c>
      <c r="B166" s="26" t="s">
        <v>182</v>
      </c>
      <c r="C166" s="26">
        <v>901.13</v>
      </c>
      <c r="D166" s="26" t="s">
        <v>182</v>
      </c>
      <c r="E166" s="26" t="s">
        <v>19</v>
      </c>
      <c r="F166" s="38" t="s">
        <v>188</v>
      </c>
      <c r="G166" s="26" t="s">
        <v>20</v>
      </c>
      <c r="H166" s="39">
        <v>44343.4375</v>
      </c>
      <c r="I166" s="26" t="s">
        <v>225</v>
      </c>
      <c r="J166" s="38">
        <v>70</v>
      </c>
      <c r="L166" s="26" t="s">
        <v>229</v>
      </c>
      <c r="M166" s="26">
        <v>400</v>
      </c>
      <c r="N166" s="45">
        <f t="shared" si="2"/>
        <v>0</v>
      </c>
    </row>
    <row r="167" spans="1:14" x14ac:dyDescent="0.25">
      <c r="A167" s="26" t="s">
        <v>136</v>
      </c>
      <c r="B167" s="26" t="s">
        <v>182</v>
      </c>
      <c r="C167" s="26">
        <v>901.13</v>
      </c>
      <c r="D167" s="26" t="s">
        <v>182</v>
      </c>
      <c r="E167" s="26" t="s">
        <v>19</v>
      </c>
      <c r="F167" s="38" t="s">
        <v>187</v>
      </c>
      <c r="G167" s="26" t="s">
        <v>20</v>
      </c>
      <c r="H167" s="39">
        <v>44343.443749999999</v>
      </c>
      <c r="I167" s="26" t="s">
        <v>225</v>
      </c>
      <c r="J167" s="38">
        <v>13300</v>
      </c>
      <c r="L167" s="26" t="s">
        <v>229</v>
      </c>
      <c r="M167" s="26">
        <v>400</v>
      </c>
      <c r="N167" s="45">
        <f t="shared" si="2"/>
        <v>1</v>
      </c>
    </row>
    <row r="168" spans="1:14" x14ac:dyDescent="0.25">
      <c r="A168" s="26" t="s">
        <v>139</v>
      </c>
      <c r="B168" s="26" t="s">
        <v>182</v>
      </c>
      <c r="C168" s="26">
        <v>901.13</v>
      </c>
      <c r="D168" s="26" t="s">
        <v>182</v>
      </c>
      <c r="E168" s="26" t="s">
        <v>19</v>
      </c>
      <c r="F168" s="38" t="s">
        <v>189</v>
      </c>
      <c r="G168" s="26" t="s">
        <v>20</v>
      </c>
      <c r="H168" s="39">
        <v>44343.46597222222</v>
      </c>
      <c r="I168" s="26" t="s">
        <v>225</v>
      </c>
      <c r="J168" s="38">
        <v>4000</v>
      </c>
      <c r="L168" s="26" t="s">
        <v>229</v>
      </c>
      <c r="M168" s="26">
        <v>400</v>
      </c>
      <c r="N168" s="45">
        <f t="shared" si="2"/>
        <v>1</v>
      </c>
    </row>
    <row r="169" spans="1:14" x14ac:dyDescent="0.25">
      <c r="A169" s="26" t="s">
        <v>139</v>
      </c>
      <c r="B169" s="26" t="s">
        <v>182</v>
      </c>
      <c r="C169" s="26">
        <v>901.13</v>
      </c>
      <c r="D169" s="26" t="s">
        <v>182</v>
      </c>
      <c r="E169" s="26" t="s">
        <v>19</v>
      </c>
      <c r="F169" s="38" t="s">
        <v>190</v>
      </c>
      <c r="G169" s="26" t="s">
        <v>20</v>
      </c>
      <c r="H169" s="39">
        <v>44343.488888888889</v>
      </c>
      <c r="I169" s="26" t="s">
        <v>225</v>
      </c>
      <c r="J169" s="38">
        <v>20</v>
      </c>
      <c r="L169" s="26" t="s">
        <v>229</v>
      </c>
      <c r="M169" s="26">
        <v>400</v>
      </c>
      <c r="N169" s="45">
        <f t="shared" si="2"/>
        <v>0</v>
      </c>
    </row>
    <row r="170" spans="1:14" x14ac:dyDescent="0.25">
      <c r="A170" s="26" t="s">
        <v>110</v>
      </c>
      <c r="B170" s="26" t="s">
        <v>108</v>
      </c>
      <c r="C170" s="26">
        <v>901.27</v>
      </c>
      <c r="D170" s="26" t="s">
        <v>135</v>
      </c>
      <c r="E170" s="26" t="s">
        <v>19</v>
      </c>
      <c r="F170" s="38" t="s">
        <v>196</v>
      </c>
      <c r="G170" s="26" t="s">
        <v>20</v>
      </c>
      <c r="H170" s="39">
        <v>44349.43472222222</v>
      </c>
      <c r="I170" s="26" t="s">
        <v>225</v>
      </c>
      <c r="J170" s="38">
        <v>230</v>
      </c>
      <c r="L170" s="26" t="s">
        <v>229</v>
      </c>
      <c r="M170" s="26">
        <v>400</v>
      </c>
      <c r="N170" s="45">
        <f t="shared" si="2"/>
        <v>0</v>
      </c>
    </row>
    <row r="171" spans="1:14" x14ac:dyDescent="0.25">
      <c r="A171" s="26" t="s">
        <v>110</v>
      </c>
      <c r="B171" s="26" t="s">
        <v>108</v>
      </c>
      <c r="C171" s="26">
        <v>901.27</v>
      </c>
      <c r="D171" s="26" t="s">
        <v>135</v>
      </c>
      <c r="E171" s="26" t="s">
        <v>19</v>
      </c>
      <c r="F171" s="40" t="s">
        <v>196</v>
      </c>
      <c r="G171" s="26" t="s">
        <v>20</v>
      </c>
      <c r="H171" s="41">
        <v>44440.357638888891</v>
      </c>
      <c r="I171" s="26" t="s">
        <v>225</v>
      </c>
      <c r="J171" s="40">
        <v>9100</v>
      </c>
      <c r="K171" s="26" t="s">
        <v>231</v>
      </c>
      <c r="L171" s="26" t="s">
        <v>229</v>
      </c>
      <c r="M171" s="26">
        <v>400</v>
      </c>
      <c r="N171" s="45">
        <f t="shared" si="2"/>
        <v>1</v>
      </c>
    </row>
    <row r="172" spans="1:14" x14ac:dyDescent="0.25">
      <c r="A172" s="26" t="s">
        <v>136</v>
      </c>
      <c r="B172" s="26" t="s">
        <v>182</v>
      </c>
      <c r="C172" s="26">
        <v>901.13</v>
      </c>
      <c r="D172" s="26" t="s">
        <v>182</v>
      </c>
      <c r="E172" s="26" t="s">
        <v>19</v>
      </c>
      <c r="F172" s="40" t="s">
        <v>175</v>
      </c>
      <c r="G172" s="26" t="s">
        <v>20</v>
      </c>
      <c r="H172" s="41">
        <v>44446.321527777778</v>
      </c>
      <c r="I172" s="26" t="s">
        <v>225</v>
      </c>
      <c r="J172" s="40">
        <v>6000</v>
      </c>
      <c r="K172" s="26" t="s">
        <v>231</v>
      </c>
      <c r="L172" s="26" t="s">
        <v>229</v>
      </c>
      <c r="M172" s="26">
        <v>400</v>
      </c>
      <c r="N172" s="45">
        <f t="shared" si="2"/>
        <v>1</v>
      </c>
    </row>
    <row r="173" spans="1:14" x14ac:dyDescent="0.25">
      <c r="A173" s="26" t="s">
        <v>136</v>
      </c>
      <c r="B173" s="26" t="s">
        <v>182</v>
      </c>
      <c r="C173" s="26">
        <v>901.13</v>
      </c>
      <c r="D173" s="26" t="s">
        <v>182</v>
      </c>
      <c r="E173" s="26" t="s">
        <v>19</v>
      </c>
      <c r="F173" s="40" t="s">
        <v>153</v>
      </c>
      <c r="G173" s="26" t="s">
        <v>20</v>
      </c>
      <c r="H173" s="41">
        <v>44446.37222222222</v>
      </c>
      <c r="I173" s="26" t="s">
        <v>225</v>
      </c>
      <c r="J173" s="40">
        <v>44000</v>
      </c>
      <c r="L173" s="26" t="s">
        <v>229</v>
      </c>
      <c r="M173" s="26">
        <v>400</v>
      </c>
      <c r="N173" s="45">
        <f t="shared" si="2"/>
        <v>1</v>
      </c>
    </row>
    <row r="174" spans="1:14" x14ac:dyDescent="0.25">
      <c r="A174" s="26" t="s">
        <v>138</v>
      </c>
      <c r="B174" s="26" t="s">
        <v>182</v>
      </c>
      <c r="C174" s="26">
        <v>901.13</v>
      </c>
      <c r="D174" s="26" t="s">
        <v>182</v>
      </c>
      <c r="E174" s="26" t="s">
        <v>19</v>
      </c>
      <c r="F174" s="40" t="s">
        <v>193</v>
      </c>
      <c r="G174" s="26" t="s">
        <v>20</v>
      </c>
      <c r="H174" s="41">
        <v>44446.37777777778</v>
      </c>
      <c r="I174" s="26" t="s">
        <v>225</v>
      </c>
      <c r="J174" s="40">
        <v>982</v>
      </c>
      <c r="K174" s="26" t="s">
        <v>231</v>
      </c>
      <c r="L174" s="26" t="s">
        <v>229</v>
      </c>
      <c r="M174" s="26">
        <v>400</v>
      </c>
      <c r="N174" s="45">
        <f t="shared" si="2"/>
        <v>1</v>
      </c>
    </row>
    <row r="175" spans="1:14" x14ac:dyDescent="0.25">
      <c r="A175" s="26" t="s">
        <v>138</v>
      </c>
      <c r="B175" s="26" t="s">
        <v>182</v>
      </c>
      <c r="C175" s="26">
        <v>901.13</v>
      </c>
      <c r="D175" s="26" t="s">
        <v>182</v>
      </c>
      <c r="E175" s="26" t="s">
        <v>19</v>
      </c>
      <c r="F175" s="40" t="s">
        <v>191</v>
      </c>
      <c r="G175" s="26" t="s">
        <v>20</v>
      </c>
      <c r="H175" s="41">
        <v>44446.40902777778</v>
      </c>
      <c r="I175" s="26" t="s">
        <v>225</v>
      </c>
      <c r="J175" s="40">
        <v>9900</v>
      </c>
      <c r="K175" s="26" t="s">
        <v>231</v>
      </c>
      <c r="L175" s="26" t="s">
        <v>229</v>
      </c>
      <c r="M175" s="26">
        <v>400</v>
      </c>
      <c r="N175" s="45">
        <f t="shared" si="2"/>
        <v>1</v>
      </c>
    </row>
    <row r="176" spans="1:14" x14ac:dyDescent="0.25">
      <c r="A176" s="26" t="s">
        <v>136</v>
      </c>
      <c r="B176" s="26" t="s">
        <v>182</v>
      </c>
      <c r="C176" s="26">
        <v>901.13</v>
      </c>
      <c r="D176" s="26" t="s">
        <v>182</v>
      </c>
      <c r="E176" s="26" t="s">
        <v>19</v>
      </c>
      <c r="F176" s="40" t="s">
        <v>187</v>
      </c>
      <c r="G176" s="26" t="s">
        <v>20</v>
      </c>
      <c r="H176" s="41">
        <v>44446.434027777781</v>
      </c>
      <c r="I176" s="26" t="s">
        <v>225</v>
      </c>
      <c r="J176" s="40">
        <v>5400</v>
      </c>
      <c r="L176" s="26" t="s">
        <v>229</v>
      </c>
      <c r="M176" s="26">
        <v>400</v>
      </c>
      <c r="N176" s="45">
        <f t="shared" si="2"/>
        <v>1</v>
      </c>
    </row>
    <row r="177" spans="1:14" x14ac:dyDescent="0.25">
      <c r="A177" s="26" t="s">
        <v>138</v>
      </c>
      <c r="B177" s="26" t="s">
        <v>182</v>
      </c>
      <c r="C177" s="26">
        <v>901.13</v>
      </c>
      <c r="D177" s="26" t="s">
        <v>182</v>
      </c>
      <c r="E177" s="26" t="s">
        <v>19</v>
      </c>
      <c r="F177" s="40" t="s">
        <v>146</v>
      </c>
      <c r="G177" s="26" t="s">
        <v>20</v>
      </c>
      <c r="H177" s="41">
        <v>44446.457638888889</v>
      </c>
      <c r="I177" s="26" t="s">
        <v>225</v>
      </c>
      <c r="J177" s="40">
        <v>260</v>
      </c>
      <c r="K177" s="26" t="s">
        <v>231</v>
      </c>
      <c r="L177" s="26" t="s">
        <v>229</v>
      </c>
      <c r="M177" s="26">
        <v>400</v>
      </c>
      <c r="N177" s="45">
        <f t="shared" si="2"/>
        <v>0</v>
      </c>
    </row>
    <row r="178" spans="1:14" x14ac:dyDescent="0.25">
      <c r="A178" s="26" t="s">
        <v>139</v>
      </c>
      <c r="B178" s="26" t="s">
        <v>182</v>
      </c>
      <c r="C178" s="26">
        <v>901.13</v>
      </c>
      <c r="D178" s="26" t="s">
        <v>182</v>
      </c>
      <c r="E178" s="26" t="s">
        <v>19</v>
      </c>
      <c r="F178" s="40" t="s">
        <v>189</v>
      </c>
      <c r="G178" s="26" t="s">
        <v>20</v>
      </c>
      <c r="H178" s="41">
        <v>44452.406944444447</v>
      </c>
      <c r="I178" s="26" t="s">
        <v>225</v>
      </c>
      <c r="J178" s="40">
        <v>280</v>
      </c>
      <c r="L178" s="26" t="s">
        <v>229</v>
      </c>
      <c r="M178" s="26">
        <v>400</v>
      </c>
      <c r="N178" s="45">
        <f t="shared" si="2"/>
        <v>0</v>
      </c>
    </row>
    <row r="179" spans="1:14" x14ac:dyDescent="0.25">
      <c r="A179" s="26" t="s">
        <v>139</v>
      </c>
      <c r="B179" s="26" t="s">
        <v>182</v>
      </c>
      <c r="C179" s="26">
        <v>901.13</v>
      </c>
      <c r="D179" s="26" t="s">
        <v>182</v>
      </c>
      <c r="E179" s="26" t="s">
        <v>19</v>
      </c>
      <c r="F179" s="40" t="s">
        <v>190</v>
      </c>
      <c r="G179" s="26" t="s">
        <v>20</v>
      </c>
      <c r="H179" s="41">
        <v>44452.428472222222</v>
      </c>
      <c r="I179" s="26" t="s">
        <v>225</v>
      </c>
      <c r="J179" s="40">
        <v>9</v>
      </c>
      <c r="L179" s="26" t="s">
        <v>229</v>
      </c>
      <c r="M179" s="26">
        <v>400</v>
      </c>
      <c r="N179" s="45">
        <f t="shared" si="2"/>
        <v>0</v>
      </c>
    </row>
    <row r="180" spans="1:14" x14ac:dyDescent="0.25">
      <c r="A180" s="26" t="s">
        <v>139</v>
      </c>
      <c r="B180" s="26" t="s">
        <v>182</v>
      </c>
      <c r="C180" s="26">
        <v>901.13</v>
      </c>
      <c r="D180" s="26" t="s">
        <v>182</v>
      </c>
      <c r="E180" s="26" t="s">
        <v>19</v>
      </c>
      <c r="F180" s="40" t="s">
        <v>188</v>
      </c>
      <c r="G180" s="26" t="s">
        <v>20</v>
      </c>
      <c r="H180" s="41">
        <v>44452.456250000003</v>
      </c>
      <c r="I180" s="26" t="s">
        <v>225</v>
      </c>
      <c r="J180" s="40">
        <v>200</v>
      </c>
      <c r="L180" s="26" t="s">
        <v>229</v>
      </c>
      <c r="M180" s="26">
        <v>400</v>
      </c>
      <c r="N180" s="45">
        <f t="shared" si="2"/>
        <v>0</v>
      </c>
    </row>
    <row r="181" spans="1:14" x14ac:dyDescent="0.25">
      <c r="A181" s="26" t="s">
        <v>138</v>
      </c>
      <c r="B181" s="26" t="s">
        <v>182</v>
      </c>
      <c r="C181" s="26">
        <v>901.13</v>
      </c>
      <c r="D181" s="26" t="s">
        <v>182</v>
      </c>
      <c r="E181" s="26" t="s">
        <v>19</v>
      </c>
      <c r="F181" s="40" t="s">
        <v>192</v>
      </c>
      <c r="G181" s="26" t="s">
        <v>20</v>
      </c>
      <c r="H181" s="41">
        <v>44455.402083333334</v>
      </c>
      <c r="I181" s="26" t="s">
        <v>225</v>
      </c>
      <c r="J181" s="40">
        <v>7300</v>
      </c>
      <c r="L181" s="26" t="s">
        <v>229</v>
      </c>
      <c r="M181" s="26">
        <v>400</v>
      </c>
      <c r="N181" s="45">
        <f t="shared" si="2"/>
        <v>1</v>
      </c>
    </row>
    <row r="182" spans="1:14" x14ac:dyDescent="0.25">
      <c r="A182" s="26" t="s">
        <v>138</v>
      </c>
      <c r="B182" s="26" t="s">
        <v>182</v>
      </c>
      <c r="C182" s="26">
        <v>901.13</v>
      </c>
      <c r="D182" s="26" t="s">
        <v>182</v>
      </c>
      <c r="E182" s="26" t="s">
        <v>19</v>
      </c>
      <c r="F182" s="38" t="s">
        <v>192</v>
      </c>
      <c r="G182" s="26" t="s">
        <v>20</v>
      </c>
      <c r="H182" s="39">
        <v>44342.31527777778</v>
      </c>
      <c r="I182" s="26" t="s">
        <v>228</v>
      </c>
      <c r="J182" s="38">
        <v>12800</v>
      </c>
      <c r="L182" s="26" t="s">
        <v>229</v>
      </c>
      <c r="M182" s="26">
        <v>320</v>
      </c>
      <c r="N182" s="45">
        <f t="shared" si="2"/>
        <v>1</v>
      </c>
    </row>
    <row r="183" spans="1:14" x14ac:dyDescent="0.25">
      <c r="A183" s="26" t="s">
        <v>138</v>
      </c>
      <c r="B183" s="26" t="s">
        <v>182</v>
      </c>
      <c r="C183" s="26">
        <v>901.13</v>
      </c>
      <c r="D183" s="26" t="s">
        <v>182</v>
      </c>
      <c r="E183" s="26" t="s">
        <v>19</v>
      </c>
      <c r="F183" s="38" t="s">
        <v>191</v>
      </c>
      <c r="G183" s="26" t="s">
        <v>20</v>
      </c>
      <c r="H183" s="39">
        <v>44342.338194444441</v>
      </c>
      <c r="I183" s="26" t="s">
        <v>228</v>
      </c>
      <c r="J183" s="38">
        <v>14200</v>
      </c>
      <c r="L183" s="26" t="s">
        <v>229</v>
      </c>
      <c r="M183" s="26">
        <v>320</v>
      </c>
      <c r="N183" s="45">
        <f t="shared" si="2"/>
        <v>1</v>
      </c>
    </row>
    <row r="184" spans="1:14" x14ac:dyDescent="0.25">
      <c r="A184" s="26" t="s">
        <v>138</v>
      </c>
      <c r="B184" s="26" t="s">
        <v>182</v>
      </c>
      <c r="C184" s="26">
        <v>901.13</v>
      </c>
      <c r="D184" s="26" t="s">
        <v>182</v>
      </c>
      <c r="E184" s="26" t="s">
        <v>19</v>
      </c>
      <c r="F184" s="38" t="s">
        <v>193</v>
      </c>
      <c r="G184" s="26" t="s">
        <v>20</v>
      </c>
      <c r="H184" s="39">
        <v>44342.37777777778</v>
      </c>
      <c r="I184" s="26" t="s">
        <v>228</v>
      </c>
      <c r="J184" s="38">
        <v>1330</v>
      </c>
      <c r="L184" s="26" t="s">
        <v>229</v>
      </c>
      <c r="M184" s="26">
        <v>320</v>
      </c>
      <c r="N184" s="45">
        <f t="shared" si="2"/>
        <v>1</v>
      </c>
    </row>
    <row r="185" spans="1:14" x14ac:dyDescent="0.25">
      <c r="A185" s="26" t="s">
        <v>138</v>
      </c>
      <c r="B185" s="26" t="s">
        <v>182</v>
      </c>
      <c r="C185" s="26">
        <v>901.13</v>
      </c>
      <c r="D185" s="26" t="s">
        <v>182</v>
      </c>
      <c r="E185" s="26" t="s">
        <v>19</v>
      </c>
      <c r="F185" s="38" t="s">
        <v>146</v>
      </c>
      <c r="G185" s="26" t="s">
        <v>20</v>
      </c>
      <c r="H185" s="39">
        <v>44342.420138888891</v>
      </c>
      <c r="I185" s="26" t="s">
        <v>228</v>
      </c>
      <c r="J185" s="38">
        <v>160</v>
      </c>
      <c r="L185" s="26" t="s">
        <v>229</v>
      </c>
      <c r="M185" s="26">
        <v>320</v>
      </c>
      <c r="N185" s="45">
        <f t="shared" si="2"/>
        <v>0</v>
      </c>
    </row>
    <row r="186" spans="1:14" x14ac:dyDescent="0.25">
      <c r="A186" s="26" t="s">
        <v>136</v>
      </c>
      <c r="B186" s="26" t="s">
        <v>182</v>
      </c>
      <c r="C186" s="26">
        <v>901.13</v>
      </c>
      <c r="D186" s="26" t="s">
        <v>182</v>
      </c>
      <c r="E186" s="26" t="s">
        <v>19</v>
      </c>
      <c r="F186" s="38" t="s">
        <v>162</v>
      </c>
      <c r="G186" s="26" t="s">
        <v>20</v>
      </c>
      <c r="H186" s="39">
        <v>44343.381944444445</v>
      </c>
      <c r="I186" s="26" t="s">
        <v>228</v>
      </c>
      <c r="J186" s="38">
        <v>3500</v>
      </c>
      <c r="L186" s="26" t="s">
        <v>229</v>
      </c>
      <c r="M186" s="26">
        <v>320</v>
      </c>
      <c r="N186" s="45">
        <f t="shared" si="2"/>
        <v>1</v>
      </c>
    </row>
    <row r="187" spans="1:14" x14ac:dyDescent="0.25">
      <c r="A187" s="26" t="s">
        <v>139</v>
      </c>
      <c r="B187" s="26" t="s">
        <v>182</v>
      </c>
      <c r="C187" s="26">
        <v>901.13</v>
      </c>
      <c r="D187" s="26" t="s">
        <v>182</v>
      </c>
      <c r="E187" s="26" t="s">
        <v>19</v>
      </c>
      <c r="F187" s="38" t="s">
        <v>188</v>
      </c>
      <c r="G187" s="26" t="s">
        <v>20</v>
      </c>
      <c r="H187" s="39">
        <v>44343.4375</v>
      </c>
      <c r="I187" s="26" t="s">
        <v>228</v>
      </c>
      <c r="J187" s="38">
        <v>390</v>
      </c>
      <c r="L187" s="26" t="s">
        <v>229</v>
      </c>
      <c r="M187" s="26">
        <v>320</v>
      </c>
      <c r="N187" s="45">
        <f t="shared" si="2"/>
        <v>1</v>
      </c>
    </row>
    <row r="188" spans="1:14" x14ac:dyDescent="0.25">
      <c r="A188" s="26" t="s">
        <v>136</v>
      </c>
      <c r="B188" s="26" t="s">
        <v>182</v>
      </c>
      <c r="C188" s="26">
        <v>901.13</v>
      </c>
      <c r="D188" s="26" t="s">
        <v>182</v>
      </c>
      <c r="E188" s="26" t="s">
        <v>19</v>
      </c>
      <c r="F188" s="38" t="s">
        <v>187</v>
      </c>
      <c r="G188" s="26" t="s">
        <v>20</v>
      </c>
      <c r="H188" s="39">
        <v>44343.443749999999</v>
      </c>
      <c r="I188" s="26" t="s">
        <v>228</v>
      </c>
      <c r="J188" s="38">
        <v>20000</v>
      </c>
      <c r="L188" s="26" t="s">
        <v>229</v>
      </c>
      <c r="M188" s="26">
        <v>320</v>
      </c>
      <c r="N188" s="45">
        <f t="shared" si="2"/>
        <v>1</v>
      </c>
    </row>
    <row r="189" spans="1:14" x14ac:dyDescent="0.25">
      <c r="A189" s="26" t="s">
        <v>139</v>
      </c>
      <c r="B189" s="26" t="s">
        <v>182</v>
      </c>
      <c r="C189" s="26">
        <v>901.13</v>
      </c>
      <c r="D189" s="26" t="s">
        <v>182</v>
      </c>
      <c r="E189" s="26" t="s">
        <v>19</v>
      </c>
      <c r="F189" s="38" t="s">
        <v>189</v>
      </c>
      <c r="G189" s="26" t="s">
        <v>20</v>
      </c>
      <c r="H189" s="39">
        <v>44343.46597222222</v>
      </c>
      <c r="I189" s="26" t="s">
        <v>228</v>
      </c>
      <c r="J189" s="38">
        <v>710</v>
      </c>
      <c r="L189" s="26" t="s">
        <v>229</v>
      </c>
      <c r="M189" s="26">
        <v>320</v>
      </c>
      <c r="N189" s="45">
        <f t="shared" si="2"/>
        <v>1</v>
      </c>
    </row>
    <row r="190" spans="1:14" x14ac:dyDescent="0.25">
      <c r="A190" s="26" t="s">
        <v>139</v>
      </c>
      <c r="B190" s="26" t="s">
        <v>182</v>
      </c>
      <c r="C190" s="26">
        <v>901.13</v>
      </c>
      <c r="D190" s="26" t="s">
        <v>182</v>
      </c>
      <c r="E190" s="26" t="s">
        <v>19</v>
      </c>
      <c r="F190" s="38" t="s">
        <v>190</v>
      </c>
      <c r="G190" s="26" t="s">
        <v>20</v>
      </c>
      <c r="H190" s="39">
        <v>44343.488888888889</v>
      </c>
      <c r="I190" s="26" t="s">
        <v>228</v>
      </c>
      <c r="J190" s="38">
        <v>40</v>
      </c>
      <c r="L190" s="26" t="s">
        <v>229</v>
      </c>
      <c r="M190" s="26">
        <v>320</v>
      </c>
      <c r="N190" s="45">
        <f t="shared" si="2"/>
        <v>0</v>
      </c>
    </row>
    <row r="191" spans="1:14" x14ac:dyDescent="0.25">
      <c r="A191" s="26" t="s">
        <v>110</v>
      </c>
      <c r="B191" s="26" t="s">
        <v>108</v>
      </c>
      <c r="C191" s="26">
        <v>901.27</v>
      </c>
      <c r="D191" s="26" t="s">
        <v>135</v>
      </c>
      <c r="E191" s="26" t="s">
        <v>19</v>
      </c>
      <c r="F191" s="38" t="s">
        <v>196</v>
      </c>
      <c r="G191" s="26" t="s">
        <v>20</v>
      </c>
      <c r="H191" s="39">
        <v>44349.43472222222</v>
      </c>
      <c r="I191" s="26" t="s">
        <v>228</v>
      </c>
      <c r="J191" s="38">
        <v>600</v>
      </c>
      <c r="L191" s="26" t="s">
        <v>229</v>
      </c>
      <c r="M191" s="26">
        <v>320</v>
      </c>
      <c r="N191" s="45">
        <f t="shared" si="2"/>
        <v>1</v>
      </c>
    </row>
    <row r="192" spans="1:14" x14ac:dyDescent="0.25">
      <c r="A192" s="26" t="s">
        <v>110</v>
      </c>
      <c r="B192" s="26" t="s">
        <v>108</v>
      </c>
      <c r="C192" s="26">
        <v>901.27</v>
      </c>
      <c r="D192" s="26" t="s">
        <v>135</v>
      </c>
      <c r="E192" s="26" t="s">
        <v>19</v>
      </c>
      <c r="F192" s="40" t="s">
        <v>196</v>
      </c>
      <c r="G192" s="26" t="s">
        <v>20</v>
      </c>
      <c r="H192" s="41">
        <v>44440.357638888891</v>
      </c>
      <c r="I192" s="26" t="s">
        <v>228</v>
      </c>
      <c r="J192" s="40">
        <v>30000</v>
      </c>
      <c r="L192" s="26" t="s">
        <v>229</v>
      </c>
      <c r="M192" s="26">
        <v>320</v>
      </c>
      <c r="N192" s="45">
        <f t="shared" si="2"/>
        <v>1</v>
      </c>
    </row>
    <row r="193" spans="1:14" x14ac:dyDescent="0.25">
      <c r="A193" s="26" t="s">
        <v>136</v>
      </c>
      <c r="B193" s="26" t="s">
        <v>182</v>
      </c>
      <c r="C193" s="26">
        <v>901.13</v>
      </c>
      <c r="D193" s="26" t="s">
        <v>182</v>
      </c>
      <c r="E193" s="26" t="s">
        <v>19</v>
      </c>
      <c r="F193" s="40" t="s">
        <v>175</v>
      </c>
      <c r="G193" s="26" t="s">
        <v>20</v>
      </c>
      <c r="H193" s="41">
        <v>44446.321527777778</v>
      </c>
      <c r="I193" s="26" t="s">
        <v>228</v>
      </c>
      <c r="J193" s="40">
        <v>30000</v>
      </c>
      <c r="L193" s="26" t="s">
        <v>229</v>
      </c>
      <c r="M193" s="26">
        <v>320</v>
      </c>
      <c r="N193" s="45">
        <f t="shared" si="2"/>
        <v>1</v>
      </c>
    </row>
    <row r="194" spans="1:14" x14ac:dyDescent="0.25">
      <c r="A194" s="26" t="s">
        <v>136</v>
      </c>
      <c r="B194" s="26" t="s">
        <v>182</v>
      </c>
      <c r="C194" s="26">
        <v>901.13</v>
      </c>
      <c r="D194" s="26" t="s">
        <v>182</v>
      </c>
      <c r="E194" s="26" t="s">
        <v>19</v>
      </c>
      <c r="F194" s="40" t="s">
        <v>153</v>
      </c>
      <c r="G194" s="26" t="s">
        <v>20</v>
      </c>
      <c r="H194" s="41">
        <v>44446.37222222222</v>
      </c>
      <c r="I194" s="26" t="s">
        <v>228</v>
      </c>
      <c r="J194" s="40">
        <v>29000</v>
      </c>
      <c r="L194" s="26" t="s">
        <v>229</v>
      </c>
      <c r="M194" s="26">
        <v>320</v>
      </c>
      <c r="N194" s="45">
        <f t="shared" si="2"/>
        <v>1</v>
      </c>
    </row>
    <row r="195" spans="1:14" x14ac:dyDescent="0.25">
      <c r="A195" s="26" t="s">
        <v>138</v>
      </c>
      <c r="B195" s="26" t="s">
        <v>182</v>
      </c>
      <c r="C195" s="26">
        <v>901.13</v>
      </c>
      <c r="D195" s="26" t="s">
        <v>182</v>
      </c>
      <c r="E195" s="26" t="s">
        <v>19</v>
      </c>
      <c r="F195" s="40" t="s">
        <v>193</v>
      </c>
      <c r="G195" s="26" t="s">
        <v>20</v>
      </c>
      <c r="H195" s="41">
        <v>44446.37777777778</v>
      </c>
      <c r="I195" s="26" t="s">
        <v>228</v>
      </c>
      <c r="J195" s="40">
        <v>4600</v>
      </c>
      <c r="L195" s="26" t="s">
        <v>229</v>
      </c>
      <c r="M195" s="26">
        <v>320</v>
      </c>
      <c r="N195" s="45">
        <f t="shared" ref="N195:N203" si="3">IF(J195&gt;M195, 1, 0)</f>
        <v>1</v>
      </c>
    </row>
    <row r="196" spans="1:14" x14ac:dyDescent="0.25">
      <c r="A196" s="26" t="s">
        <v>138</v>
      </c>
      <c r="B196" s="26" t="s">
        <v>182</v>
      </c>
      <c r="C196" s="26">
        <v>901.13</v>
      </c>
      <c r="D196" s="26" t="s">
        <v>182</v>
      </c>
      <c r="E196" s="26" t="s">
        <v>19</v>
      </c>
      <c r="F196" s="40" t="s">
        <v>191</v>
      </c>
      <c r="G196" s="26" t="s">
        <v>20</v>
      </c>
      <c r="H196" s="41">
        <v>44446.40902777778</v>
      </c>
      <c r="I196" s="26" t="s">
        <v>228</v>
      </c>
      <c r="J196" s="40">
        <v>15900</v>
      </c>
      <c r="L196" s="26" t="s">
        <v>229</v>
      </c>
      <c r="M196" s="26">
        <v>320</v>
      </c>
      <c r="N196" s="45">
        <f t="shared" si="3"/>
        <v>1</v>
      </c>
    </row>
    <row r="197" spans="1:14" x14ac:dyDescent="0.25">
      <c r="A197" s="26" t="s">
        <v>136</v>
      </c>
      <c r="B197" s="26" t="s">
        <v>182</v>
      </c>
      <c r="C197" s="26">
        <v>901.13</v>
      </c>
      <c r="D197" s="26" t="s">
        <v>182</v>
      </c>
      <c r="E197" s="26" t="s">
        <v>19</v>
      </c>
      <c r="F197" s="40" t="s">
        <v>187</v>
      </c>
      <c r="G197" s="26" t="s">
        <v>20</v>
      </c>
      <c r="H197" s="41">
        <v>44446.434027777781</v>
      </c>
      <c r="I197" s="26" t="s">
        <v>228</v>
      </c>
      <c r="J197" s="40">
        <v>10300</v>
      </c>
      <c r="L197" s="26" t="s">
        <v>229</v>
      </c>
      <c r="M197" s="26">
        <v>320</v>
      </c>
      <c r="N197" s="45">
        <f t="shared" si="3"/>
        <v>1</v>
      </c>
    </row>
    <row r="198" spans="1:14" x14ac:dyDescent="0.25">
      <c r="A198" s="26" t="s">
        <v>138</v>
      </c>
      <c r="B198" s="26" t="s">
        <v>182</v>
      </c>
      <c r="C198" s="26">
        <v>901.13</v>
      </c>
      <c r="D198" s="26" t="s">
        <v>182</v>
      </c>
      <c r="E198" s="26" t="s">
        <v>19</v>
      </c>
      <c r="F198" s="40" t="s">
        <v>146</v>
      </c>
      <c r="G198" s="26" t="s">
        <v>20</v>
      </c>
      <c r="H198" s="41">
        <v>44446.457638888889</v>
      </c>
      <c r="I198" s="26" t="s">
        <v>228</v>
      </c>
      <c r="J198" s="40">
        <v>1120</v>
      </c>
      <c r="L198" s="26" t="s">
        <v>229</v>
      </c>
      <c r="M198" s="26">
        <v>320</v>
      </c>
      <c r="N198" s="45">
        <f t="shared" si="3"/>
        <v>1</v>
      </c>
    </row>
    <row r="199" spans="1:14" x14ac:dyDescent="0.25">
      <c r="A199" s="26" t="s">
        <v>139</v>
      </c>
      <c r="B199" s="26" t="s">
        <v>182</v>
      </c>
      <c r="C199" s="26">
        <v>901.13</v>
      </c>
      <c r="D199" s="26" t="s">
        <v>182</v>
      </c>
      <c r="E199" s="26" t="s">
        <v>19</v>
      </c>
      <c r="F199" s="40" t="s">
        <v>189</v>
      </c>
      <c r="G199" s="26" t="s">
        <v>20</v>
      </c>
      <c r="H199" s="41">
        <v>44452.406944444447</v>
      </c>
      <c r="I199" s="26" t="s">
        <v>228</v>
      </c>
      <c r="J199" s="40">
        <v>860</v>
      </c>
      <c r="L199" s="26" t="s">
        <v>229</v>
      </c>
      <c r="M199" s="26">
        <v>320</v>
      </c>
      <c r="N199" s="45">
        <f t="shared" si="3"/>
        <v>1</v>
      </c>
    </row>
    <row r="200" spans="1:14" x14ac:dyDescent="0.25">
      <c r="A200" s="26" t="s">
        <v>139</v>
      </c>
      <c r="B200" s="26" t="s">
        <v>182</v>
      </c>
      <c r="C200" s="26">
        <v>901.13</v>
      </c>
      <c r="D200" s="26" t="s">
        <v>182</v>
      </c>
      <c r="E200" s="26" t="s">
        <v>19</v>
      </c>
      <c r="F200" s="40" t="s">
        <v>190</v>
      </c>
      <c r="G200" s="26" t="s">
        <v>20</v>
      </c>
      <c r="H200" s="41">
        <v>44452.428472222222</v>
      </c>
      <c r="I200" s="26" t="s">
        <v>228</v>
      </c>
      <c r="J200" s="40">
        <v>150</v>
      </c>
      <c r="L200" s="26" t="s">
        <v>229</v>
      </c>
      <c r="M200" s="26">
        <v>320</v>
      </c>
      <c r="N200" s="45">
        <f t="shared" si="3"/>
        <v>0</v>
      </c>
    </row>
    <row r="201" spans="1:14" x14ac:dyDescent="0.25">
      <c r="A201" s="26" t="s">
        <v>139</v>
      </c>
      <c r="B201" s="26" t="s">
        <v>182</v>
      </c>
      <c r="C201" s="26">
        <v>901.13</v>
      </c>
      <c r="D201" s="26" t="s">
        <v>182</v>
      </c>
      <c r="E201" s="26" t="s">
        <v>19</v>
      </c>
      <c r="F201" s="40" t="s">
        <v>188</v>
      </c>
      <c r="G201" s="26" t="s">
        <v>20</v>
      </c>
      <c r="H201" s="41">
        <v>44452.456250000003</v>
      </c>
      <c r="I201" s="26" t="s">
        <v>228</v>
      </c>
      <c r="J201" s="40">
        <v>2100</v>
      </c>
      <c r="L201" s="26" t="s">
        <v>229</v>
      </c>
      <c r="M201" s="26">
        <v>320</v>
      </c>
      <c r="N201" s="45">
        <f t="shared" si="3"/>
        <v>1</v>
      </c>
    </row>
    <row r="202" spans="1:14" x14ac:dyDescent="0.25">
      <c r="A202" s="26" t="s">
        <v>138</v>
      </c>
      <c r="B202" s="26" t="s">
        <v>182</v>
      </c>
      <c r="C202" s="26">
        <v>901.13</v>
      </c>
      <c r="D202" s="26" t="s">
        <v>182</v>
      </c>
      <c r="E202" s="26" t="s">
        <v>19</v>
      </c>
      <c r="F202" s="40" t="s">
        <v>192</v>
      </c>
      <c r="G202" s="26" t="s">
        <v>20</v>
      </c>
      <c r="H202" s="41">
        <v>44455.402083333334</v>
      </c>
      <c r="I202" s="26" t="s">
        <v>228</v>
      </c>
      <c r="J202" s="40">
        <v>9000</v>
      </c>
      <c r="L202" s="26" t="s">
        <v>229</v>
      </c>
      <c r="M202" s="26">
        <v>320</v>
      </c>
      <c r="N202" s="45">
        <f t="shared" si="3"/>
        <v>1</v>
      </c>
    </row>
    <row r="203" spans="1:14" x14ac:dyDescent="0.25">
      <c r="N203" s="45">
        <f t="shared" si="3"/>
        <v>0</v>
      </c>
    </row>
  </sheetData>
  <autoFilter ref="A1:P203" xr:uid="{C1D50509-0BE9-4230-AB97-9C4B20339F3E}"/>
  <phoneticPr fontId="7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72F7-AF9C-4853-9B2D-8F251F7E779E}">
  <sheetPr>
    <tabColor theme="4" tint="0.79998168889431442"/>
  </sheetPr>
  <dimension ref="A2:U69"/>
  <sheetViews>
    <sheetView tabSelected="1" zoomScale="85" zoomScaleNormal="85" workbookViewId="0">
      <selection activeCell="L72" sqref="L72"/>
    </sheetView>
  </sheetViews>
  <sheetFormatPr defaultRowHeight="15" x14ac:dyDescent="0.25"/>
  <cols>
    <col min="1" max="1" width="13.28515625" bestFit="1" customWidth="1"/>
    <col min="2" max="2" width="13" bestFit="1" customWidth="1"/>
    <col min="3" max="3" width="9.42578125" bestFit="1" customWidth="1"/>
    <col min="4" max="4" width="15.85546875" customWidth="1"/>
    <col min="5" max="5" width="10.28515625" bestFit="1" customWidth="1"/>
    <col min="6" max="6" width="14.7109375" bestFit="1" customWidth="1"/>
    <col min="7" max="7" width="14" bestFit="1" customWidth="1"/>
    <col min="11" max="12" width="12.85546875" customWidth="1"/>
    <col min="13" max="13" width="13.42578125" customWidth="1"/>
    <col min="14" max="14" width="12.140625" customWidth="1"/>
    <col min="15" max="15" width="9.85546875" customWidth="1"/>
    <col min="16" max="16" width="15.28515625" customWidth="1"/>
    <col min="17" max="17" width="12.140625" customWidth="1"/>
    <col min="18" max="18" width="8.7109375" style="16"/>
  </cols>
  <sheetData>
    <row r="2" spans="1:21" ht="23.45" customHeight="1" x14ac:dyDescent="0.25">
      <c r="F2" s="11" t="s">
        <v>42</v>
      </c>
      <c r="K2" s="56" t="s">
        <v>32</v>
      </c>
      <c r="L2" s="56" t="s">
        <v>48</v>
      </c>
      <c r="M2" s="56" t="s">
        <v>11</v>
      </c>
      <c r="N2" s="56" t="s">
        <v>13</v>
      </c>
      <c r="O2" s="56" t="s">
        <v>44</v>
      </c>
      <c r="P2" s="58" t="s">
        <v>45</v>
      </c>
      <c r="Q2" s="58" t="s">
        <v>46</v>
      </c>
      <c r="R2" s="52" t="s">
        <v>47</v>
      </c>
      <c r="S2" s="54" t="s">
        <v>57</v>
      </c>
      <c r="T2" s="55"/>
      <c r="U2" s="55"/>
    </row>
    <row r="3" spans="1:21" ht="24" x14ac:dyDescent="0.25">
      <c r="A3" s="11" t="s">
        <v>32</v>
      </c>
      <c r="B3" s="11" t="s">
        <v>0</v>
      </c>
      <c r="C3" s="11" t="s">
        <v>49</v>
      </c>
      <c r="D3" s="11" t="s">
        <v>11</v>
      </c>
      <c r="E3" s="11" t="s">
        <v>13</v>
      </c>
      <c r="F3" t="s">
        <v>43</v>
      </c>
      <c r="G3" t="s">
        <v>41</v>
      </c>
      <c r="K3" s="57"/>
      <c r="L3" s="57"/>
      <c r="M3" s="57"/>
      <c r="N3" s="57"/>
      <c r="O3" s="57"/>
      <c r="P3" s="59"/>
      <c r="Q3" s="59"/>
      <c r="R3" s="53"/>
      <c r="S3" s="17" t="s">
        <v>30</v>
      </c>
      <c r="T3" s="17" t="s">
        <v>55</v>
      </c>
      <c r="U3" s="17" t="s">
        <v>56</v>
      </c>
    </row>
    <row r="4" spans="1:21" x14ac:dyDescent="0.25">
      <c r="A4" t="s">
        <v>182</v>
      </c>
      <c r="B4" t="s">
        <v>136</v>
      </c>
      <c r="C4" t="s">
        <v>50</v>
      </c>
      <c r="D4" t="s">
        <v>29</v>
      </c>
      <c r="E4" t="s">
        <v>224</v>
      </c>
      <c r="F4" s="20">
        <v>2</v>
      </c>
      <c r="G4" s="43">
        <v>2</v>
      </c>
      <c r="K4" s="60" t="s">
        <v>182</v>
      </c>
      <c r="L4" s="60" t="s">
        <v>257</v>
      </c>
      <c r="M4" s="14" t="s">
        <v>116</v>
      </c>
      <c r="N4" s="14" t="s">
        <v>225</v>
      </c>
      <c r="O4" s="14">
        <v>400</v>
      </c>
      <c r="P4" s="14">
        <f>SUM(GETPIVOTDATA("Count of Result",$A$2,"Copermittee","LAKE FOREST","TMDL Segment","Aliso Creek","Monitoring Year","2020-2021","Analyte","FC","Data Source",), GETPIVOTDATA("Count of Result",$A$2,"Copermittee","LAGUNA NIGUEL","TMDL Segment","Aliso Creek","Monitoring Year","2020-2021","Analyte","FC","Data Source",), GETPIVOTDATA("Count of Result",$A$2,"Copermittee","ALISO VIEJO","TMDL Segment","Aliso Creek","Monitoring Year","2020-2021","Analyte","FC","Data Source",), GETPIVOTDATA("Count of Result",$A$2,"Copermittee","LAGUNA WOODS","TMDL Segment","Aliso Creek","Monitoring Year","2022-2023","Analyte","FC","Data Source",))</f>
        <v>20</v>
      </c>
      <c r="Q4" s="14">
        <f>SUM(GETPIVOTDATA("Sum of Exceed",$A$2,"Copermittee","LAKE FOREST","TMDL Segment","Aliso Creek","Monitoring Year","2021-2022","Analyte","FC","Data Source",), GETPIVOTDATA("Sum of Exceed",$A$2,"Copermittee","LAKE FOREST","TMDL Segment","Aliso Creek","Monitoring Year","2020-2021","Analyte","FC","Data Source",), GETPIVOTDATA("Sum of Exceed",$A$2,"Copermittee","LAGUNA NIGUEL","TMDL Segment","Aliso Creek","Monitoring Year","2020-2021","Analyte","FC","Data Source",), GETPIVOTDATA("Sum of Exceed",$A$2,"Copermittee","ALISO VIEJO","TMDL Segment","Aliso Creek","Monitoring Year","2020-2021","Analyte","ENT","Data Source",))</f>
        <v>14</v>
      </c>
      <c r="R4" s="18">
        <f>(Q4/P4)</f>
        <v>0.7</v>
      </c>
      <c r="S4" s="63">
        <f>MAX(R12:R14)</f>
        <v>0.84210526315789469</v>
      </c>
      <c r="T4" s="63">
        <f>MAX(R4:R6)</f>
        <v>0.78947368421052633</v>
      </c>
      <c r="U4" s="63">
        <f>MAX(R8:R10)</f>
        <v>0.94736842105263153</v>
      </c>
    </row>
    <row r="5" spans="1:21" x14ac:dyDescent="0.25">
      <c r="E5" t="s">
        <v>225</v>
      </c>
      <c r="F5" s="20">
        <v>2</v>
      </c>
      <c r="G5" s="43">
        <v>2</v>
      </c>
      <c r="K5" s="61"/>
      <c r="L5" s="61"/>
      <c r="M5" s="14" t="s">
        <v>115</v>
      </c>
      <c r="N5" s="14" t="s">
        <v>225</v>
      </c>
      <c r="O5" s="14">
        <v>400</v>
      </c>
      <c r="P5" s="14">
        <f>SUM(GETPIVOTDATA("Count of Result",$A$2,"Copermittee","LAKE FOREST","TMDL Segment","Aliso Creek","Monitoring Year","2021-2022","Analyte","FC","Data Source",), GETPIVOTDATA("Count of Result",$A$2,"Copermittee","LAGUNA NIGUEL","TMDL Segment","Aliso Creek","Monitoring Year","2021-2022","Analyte","FC","Data Source",), GETPIVOTDATA("Count of Result",$A$2,"Copermittee","ALISO VIEJO","TMDL Segment","Aliso Creek","Monitoring Year","2021-2022","Analyte","FC","Data Source",))</f>
        <v>16</v>
      </c>
      <c r="Q5" s="14">
        <f>SUM(GETPIVOTDATA("Sum of Exceed",$A$2,"Copermittee","LAKE FOREST","TMDL Segment","Aliso Creek","Monitoring Year","2021-2022","Analyte","FC","Data Source",), GETPIVOTDATA("Sum of Exceed",$A$2,"Copermittee","LAGUNA NIGUEL","TMDL Segment","Aliso Creek","Monitoring Year","2021-2022","Analyte","FC","Data Source",), GETPIVOTDATA("Sum of Exceed",$A$2,"Copermittee","ALISO VIEJO","TMDL Segment","Aliso Creek","Monitoring Year","2021-2022","Analyte","FC","Data Source",))</f>
        <v>10</v>
      </c>
      <c r="R5" s="18">
        <f t="shared" ref="R5:R6" si="0">(Q5/P5)</f>
        <v>0.625</v>
      </c>
      <c r="S5" s="61"/>
      <c r="T5" s="61"/>
      <c r="U5" s="61"/>
    </row>
    <row r="6" spans="1:21" x14ac:dyDescent="0.25">
      <c r="E6" t="s">
        <v>228</v>
      </c>
      <c r="F6" s="20">
        <v>2</v>
      </c>
      <c r="G6" s="43">
        <v>2</v>
      </c>
      <c r="K6" s="61"/>
      <c r="L6" s="61"/>
      <c r="M6" s="14" t="s">
        <v>107</v>
      </c>
      <c r="N6" s="14" t="s">
        <v>225</v>
      </c>
      <c r="O6" s="14">
        <v>400</v>
      </c>
      <c r="P6" s="14">
        <f>SUM(GETPIVOTDATA("Count of Result",$A$2,"Copermittee","LAKE FOREST","TMDL Segment","Aliso Creek","Monitoring Year","2022-2023","Analyte","FC","Data Source",), GETPIVOTDATA("Count of Result",$A$2,"Copermittee","LAGUNA NIGUEL","TMDL Segment","Aliso Creek","Monitoring Year","2022-2023","Analyte","FC","Data Source",), GETPIVOTDATA("Count of Result",$A$2,"Copermittee","ALISO VIEJO","TMDL Segment","Aliso Creek","Monitoring Year","2022-2023","Analyte","FC","Data Source",), GETPIVOTDATA("Count of Result",$A$2,"Copermittee","LAGUNA WOODS","TMDL Segment","Aliso Creek","Monitoring Year","2022-2023","Analyte","FC","Data Source",))</f>
        <v>19</v>
      </c>
      <c r="Q6" s="14">
        <f>SUM(GETPIVOTDATA("Sum of Exceed",$A$2,"Copermittee","LAKE FOREST","TMDL Segment","Aliso Creek","Monitoring Year","2022-2023","Analyte","FC","Data Source",), GETPIVOTDATA("Sum of Exceed",$A$2,"Copermittee","LAGUNA NIGUEL","TMDL Segment","Aliso Creek","Monitoring Year","2022-2023","Analyte","ENT","Data Source",), GETPIVOTDATA("Sum of Exceed",$A$2,"Copermittee","ALISO VIEJO","TMDL Segment","Aliso Creek","Monitoring Year","2022-2023","Analyte","FC","Data Source",), GETPIVOTDATA("Sum of Exceed",$A$2,"Copermittee","LAGUNA WOODS","TMDL Segment","Aliso Creek","Monitoring Year","2022-2023","Analyte","FC","Data Source",))</f>
        <v>15</v>
      </c>
      <c r="R6" s="18">
        <f t="shared" si="0"/>
        <v>0.78947368421052633</v>
      </c>
      <c r="S6" s="61"/>
      <c r="T6" s="61"/>
      <c r="U6" s="61"/>
    </row>
    <row r="7" spans="1:21" x14ac:dyDescent="0.25">
      <c r="D7" t="s">
        <v>186</v>
      </c>
      <c r="E7" t="s">
        <v>224</v>
      </c>
      <c r="F7" s="20">
        <v>3</v>
      </c>
      <c r="G7" s="43">
        <v>3</v>
      </c>
      <c r="K7" s="61"/>
      <c r="L7" s="61"/>
      <c r="M7" s="14"/>
      <c r="N7" s="14"/>
      <c r="O7" s="14"/>
      <c r="P7" s="14"/>
      <c r="Q7" s="14"/>
      <c r="R7" s="42"/>
      <c r="S7" s="64"/>
      <c r="T7" s="64"/>
      <c r="U7" s="64"/>
    </row>
    <row r="8" spans="1:21" x14ac:dyDescent="0.25">
      <c r="E8" t="s">
        <v>225</v>
      </c>
      <c r="F8" s="20">
        <v>3</v>
      </c>
      <c r="G8" s="43">
        <v>2</v>
      </c>
      <c r="K8" s="61"/>
      <c r="L8" s="61"/>
      <c r="M8" s="14" t="s">
        <v>116</v>
      </c>
      <c r="N8" s="14" t="s">
        <v>224</v>
      </c>
      <c r="O8" s="14">
        <v>110</v>
      </c>
      <c r="P8" s="14">
        <f>SUM(GETPIVOTDATA("Count of Result",$A$2,"Copermittee","LAKE FOREST","TMDL Segment","Aliso Creek","Monitoring Year","2020-2021","Analyte","ENT","Data Source",),GETPIVOTDATA("Count of Result",$A$2,"Copermittee","LAGUNA NIGUEL","TMDL Segment","Aliso Creek","Monitoring Year","2020-2021","Analyte","ENT","Data Source",),GETPIVOTDATA("Count of Result",$A$2,"Copermittee","ALISO VIEJO","TMDL Segment","Aliso Creek","Monitoring Year","2020-2021","Analyte","ENT","Data Source",),GETPIVOTDATA("Count of Result",$A$2,"Copermittee","LAGUNA WOODS","TMDL Segment","Aliso Creek","Monitoring Year","2022-2023","Analyte","ENT","Data Source",))</f>
        <v>20</v>
      </c>
      <c r="Q8" s="14">
        <f>SUM(GETPIVOTDATA("Sum of Exceed",$A$2,"Copermittee","LAKE FOREST","TMDL Segment","Aliso Creek","Monitoring Year","2020-2021","Analyte","ENT","Data Source",),GETPIVOTDATA("Sum of Exceed",$A$2,"Copermittee","LAGUNA NIGUEL","TMDL Segment","Aliso Creek","Monitoring Year","2020-2021","Analyte","ENT","Data Source",),GETPIVOTDATA("Sum of Exceed",$A$2,"Copermittee","ALISO VIEJO","TMDL Segment","Aliso Creek","Monitoring Year","2020-2021","Analyte","ENT","Data Source",),GETPIVOTDATA("Sum of Exceed",$A$2,"Copermittee","LAGUNA WOODS","TMDL Segment","Aliso Creek","Monitoring Year","2022-2023","Analyte","ENT","Data Source",))</f>
        <v>16</v>
      </c>
      <c r="R8" s="18">
        <f>(Q8/P8)</f>
        <v>0.8</v>
      </c>
      <c r="S8" s="64"/>
      <c r="T8" s="64"/>
      <c r="U8" s="64"/>
    </row>
    <row r="9" spans="1:21" x14ac:dyDescent="0.25">
      <c r="E9" t="s">
        <v>228</v>
      </c>
      <c r="F9" s="20">
        <v>3</v>
      </c>
      <c r="G9" s="43">
        <v>2</v>
      </c>
      <c r="K9" s="61"/>
      <c r="L9" s="61"/>
      <c r="M9" s="14" t="s">
        <v>115</v>
      </c>
      <c r="N9" s="14" t="s">
        <v>224</v>
      </c>
      <c r="O9" s="14">
        <v>110</v>
      </c>
      <c r="P9" s="14">
        <f>SUM(GETPIVOTDATA("Count of Result",$A$2,"Copermittee","LAKE FOREST","TMDL Segment","Aliso Creek","Monitoring Year","2021-2022","Analyte","ENT","Data Source",),GETPIVOTDATA("Count of Result",$A$2,"Copermittee","LAGUNA NIGUEL","TMDL Segment","Aliso Creek","Monitoring Year","2021-2022","Analyte","ENT","Data Source",),GETPIVOTDATA("Count of Result",$A$2,"Copermittee","ALISO VIEJO","TMDL Segment","Aliso Creek","Monitoring Year","2021-2022","Analyte","ENT","Data Source",))</f>
        <v>16</v>
      </c>
      <c r="Q9" s="14">
        <f>SUM(GETPIVOTDATA("Sum of Exceed",$A$2,"Copermittee","LAKE FOREST","TMDL Segment","Aliso Creek","Monitoring Year","2021-2022","Analyte","ENT","Data Source",), GETPIVOTDATA("Sum of Exceed",$A$2,"Copermittee","LAGUNA NIGUEL","TMDL Segment","Aliso Creek","Monitoring Year","2021-2022","Analyte","ENT","Data Source",), GETPIVOTDATA("Sum of Exceed",$A$2,"Copermittee","ALISO VIEJO","TMDL Segment","Aliso Creek","Monitoring Year","2021-2022","Analyte","ENT","Data Source",))</f>
        <v>13</v>
      </c>
      <c r="R9" s="18">
        <f t="shared" ref="R9:R14" si="1">(Q9/P9)</f>
        <v>0.8125</v>
      </c>
      <c r="S9" s="64"/>
      <c r="T9" s="64"/>
      <c r="U9" s="64"/>
    </row>
    <row r="10" spans="1:21" x14ac:dyDescent="0.25">
      <c r="D10" t="s">
        <v>20</v>
      </c>
      <c r="E10" t="s">
        <v>224</v>
      </c>
      <c r="F10" s="20">
        <v>5</v>
      </c>
      <c r="G10" s="43">
        <v>4</v>
      </c>
      <c r="K10" s="61"/>
      <c r="L10" s="61"/>
      <c r="M10" s="14" t="s">
        <v>107</v>
      </c>
      <c r="N10" s="14" t="s">
        <v>224</v>
      </c>
      <c r="O10" s="14">
        <v>110</v>
      </c>
      <c r="P10" s="14">
        <f>SUM(GETPIVOTDATA("Count of Result",$A$2,"Copermittee","LAKE FOREST","TMDL Segment","Aliso Creek","Monitoring Year","2022-2023","Analyte","ENT","Data Source",), GETPIVOTDATA("Count of Result",$A$2,"Copermittee","LAGUNA NIGUEL","TMDL Segment","Aliso Creek","Monitoring Year","2022-2023","Analyte","ENT","Data Source",), GETPIVOTDATA("Count of Result",$A$2,"Copermittee","ALISO VIEJO","TMDL Segment","Aliso Creek","Monitoring Year","2022-2023","Analyte","ENT","Data Source",), GETPIVOTDATA("Count of Result",$A$2,"Copermittee","LAGUNA WOODS","TMDL Segment","Aliso Creek","Monitoring Year","2022-2023","Analyte","ENT","Data Source",))</f>
        <v>19</v>
      </c>
      <c r="Q10" s="14">
        <f>SUM(GETPIVOTDATA("Sum of Exceed",$A$2,"Copermittee","LAKE FOREST","TMDL Segment","Aliso Creek","Monitoring Year","2022-2023","Analyte","ENT","Data Source",), GETPIVOTDATA("Sum of Exceed",$A$2,"Copermittee","LAGUNA NIGUEL","TMDL Segment","Aliso Creek","Monitoring Year","2022-2023","Analyte","ENT","Data Source",), GETPIVOTDATA("Sum of Exceed",$A$2,"Copermittee","ALISO VIEJO","TMDL Segment","Aliso Creek","Monitoring Year","2022-2023","Analyte","ENT","Data Source",), GETPIVOTDATA("Sum of Exceed",$A$2,"Copermittee","LAGUNA WOODS","TMDL Segment","Aliso Creek","Monitoring Year","2022-2023","Analyte","ENT","Data Source",))</f>
        <v>18</v>
      </c>
      <c r="R10" s="18">
        <f t="shared" si="1"/>
        <v>0.94736842105263153</v>
      </c>
      <c r="S10" s="64"/>
      <c r="T10" s="64"/>
      <c r="U10" s="64"/>
    </row>
    <row r="11" spans="1:21" x14ac:dyDescent="0.25">
      <c r="E11" t="s">
        <v>225</v>
      </c>
      <c r="F11" s="20">
        <v>5</v>
      </c>
      <c r="G11" s="43">
        <v>4</v>
      </c>
      <c r="K11" s="61"/>
      <c r="L11" s="61"/>
      <c r="M11" s="14"/>
      <c r="N11" s="14"/>
      <c r="O11" s="14"/>
      <c r="P11" s="14"/>
      <c r="Q11" s="14"/>
      <c r="R11" s="42"/>
      <c r="S11" s="64"/>
      <c r="T11" s="64"/>
      <c r="U11" s="64"/>
    </row>
    <row r="12" spans="1:21" x14ac:dyDescent="0.25">
      <c r="E12" t="s">
        <v>228</v>
      </c>
      <c r="F12" s="20">
        <v>5</v>
      </c>
      <c r="G12" s="43">
        <v>5</v>
      </c>
      <c r="K12" s="61"/>
      <c r="L12" s="61"/>
      <c r="M12" s="14" t="s">
        <v>116</v>
      </c>
      <c r="N12" s="14" t="s">
        <v>228</v>
      </c>
      <c r="O12" s="14">
        <v>320</v>
      </c>
      <c r="P12" s="14">
        <f>SUM(GETPIVOTDATA("Count of Result",$A$2,"Copermittee","LAKE FOREST","TMDL Segment","Aliso Creek","Monitoring Year","2020-2021","Analyte","EC","Data Source",), GETPIVOTDATA("Count of Result",$A$2,"Copermittee","LAGUNA NIGUEL","TMDL Segment","Aliso Creek","Monitoring Year","2020-2021","Analyte","EC","Data Source",), GETPIVOTDATA("Count of Result",$A$2,"Copermittee","ALISO VIEJO","TMDL Segment","Aliso Creek","Monitoring Year","2020-2021","Analyte","EC","Data Source",))</f>
        <v>19</v>
      </c>
      <c r="Q12" s="14">
        <f>SUM(GETPIVOTDATA("Sum of Exceed",$A$2,"Copermittee","LAKE FOREST","TMDL Segment","Aliso Creek","Monitoring Year","2020-2021","Analyte","EC","Data Source",), GETPIVOTDATA("Sum of Exceed",$A$2,"Copermittee","LAGUNA NIGUEL","TMDL Segment","Aliso Creek","Monitoring Year","2020-2021","Analyte","EC","Data Source",), GETPIVOTDATA("Sum of Exceed",$A$2,"Copermittee","ALISO VIEJO","TMDL Segment","Aliso Creek","Monitoring Year","2020-2021","Analyte","EC","Data Source",))</f>
        <v>16</v>
      </c>
      <c r="R12" s="18">
        <f t="shared" si="1"/>
        <v>0.84210526315789469</v>
      </c>
      <c r="S12" s="64"/>
      <c r="T12" s="64"/>
      <c r="U12" s="64"/>
    </row>
    <row r="13" spans="1:21" x14ac:dyDescent="0.25">
      <c r="C13" t="s">
        <v>51</v>
      </c>
      <c r="F13" s="20">
        <v>30</v>
      </c>
      <c r="G13" s="43">
        <v>26</v>
      </c>
      <c r="K13" s="61"/>
      <c r="L13" s="61"/>
      <c r="M13" s="14" t="s">
        <v>115</v>
      </c>
      <c r="N13" s="14" t="s">
        <v>228</v>
      </c>
      <c r="O13" s="14">
        <v>320</v>
      </c>
      <c r="P13" s="14">
        <f>SUM(GETPIVOTDATA("Count of Result",$A$2,"Copermittee","LAKE FOREST","TMDL Segment","Aliso Creek","Monitoring Year","2021-2022","Analyte","EC","Data Source",), GETPIVOTDATA("Count of Result",$A$2,"Copermittee","LAGUNA NIGUEL","TMDL Segment","Aliso Creek","Monitoring Year","2021-2022","Analyte","EC","Data Source",), GETPIVOTDATA("Count of Result",$A$2,"Copermittee","ALISO VIEJO","TMDL Segment","Aliso Creek","Monitoring Year","2021-2022","Analyte","EC","Data Source",))</f>
        <v>16</v>
      </c>
      <c r="Q13" s="14">
        <f>SUM(GETPIVOTDATA("Sum of Exceed",$A$2,"Copermittee","LAKE FOREST","TMDL Segment","Aliso Creek","Monitoring Year","2021-2022","Analyte","EC","Data Source",), GETPIVOTDATA("Sum of Exceed",$A$2,"Copermittee","LAGUNA NIGUEL","TMDL Segment","Aliso Creek","Monitoring Year","2021-2022","Analyte","EC","Data Source",), GETPIVOTDATA("Sum of Exceed",$A$2,"Copermittee","ALISO VIEJO","TMDL Segment","Aliso Creek","Monitoring Year","2021-2022","Analyte","EC","Data Source",))</f>
        <v>8</v>
      </c>
      <c r="R13" s="18">
        <f t="shared" si="1"/>
        <v>0.5</v>
      </c>
      <c r="S13" s="64"/>
      <c r="T13" s="64"/>
      <c r="U13" s="64"/>
    </row>
    <row r="14" spans="1:21" ht="15.75" thickBot="1" x14ac:dyDescent="0.3">
      <c r="B14" t="s">
        <v>139</v>
      </c>
      <c r="C14" t="s">
        <v>50</v>
      </c>
      <c r="D14" t="s">
        <v>29</v>
      </c>
      <c r="E14" t="s">
        <v>224</v>
      </c>
      <c r="F14" s="20">
        <v>6</v>
      </c>
      <c r="G14" s="43">
        <v>4</v>
      </c>
      <c r="K14" s="61"/>
      <c r="L14" s="77"/>
      <c r="M14" s="78" t="s">
        <v>107</v>
      </c>
      <c r="N14" s="78" t="s">
        <v>228</v>
      </c>
      <c r="O14" s="78">
        <v>320</v>
      </c>
      <c r="P14" s="78">
        <f>SUM(GETPIVOTDATA("Count of Result",$A$2,"Copermittee","LAKE FOREST","TMDL Segment","Aliso Creek","Monitoring Year","2022-2023","Analyte","EC","Data Source",), GETPIVOTDATA("Count of Result",$A$2,"Copermittee","LAGUNA NIGUEL","TMDL Segment","Aliso Creek","Monitoring Year","2022-2023","Analyte","EC","Data Source",), GETPIVOTDATA("Count of Result",$A$2,"Copermittee","ALISO VIEJO","TMDL Segment","Aliso Creek","Monitoring Year","2022-2023","Analyte","EC","Data Source",), GETPIVOTDATA("Count of Result",$A$2,"Copermittee","LAGUNA WOODS","TMDL Segment","Aliso Creek","Monitoring Year","2022-2023","Analyte","EC","Data Source",))</f>
        <v>19</v>
      </c>
      <c r="Q14" s="78">
        <f>SUM(GETPIVOTDATA("Sum of Exceed",$A$2,"Copermittee","LAKE FOREST","TMDL Segment","Aliso Creek","Monitoring Year","2022-2023","Analyte","EC","Data Source",), GETPIVOTDATA("Sum of Exceed",$A$2,"Copermittee","LAGUNA NIGUEL","TMDL Segment","Aliso Creek","Monitoring Year","2022-2023","Analyte","EC","Data Source",), GETPIVOTDATA("Sum of Exceed",$A$2,"Copermittee","ALISO VIEJO","TMDL Segment","Aliso Creek","Monitoring Year","2022-2023","Analyte","EC","Data Source",), GETPIVOTDATA("Sum of Exceed",$A$2,"Copermittee","LAGUNA WOODS","TMDL Segment","Aliso Creek","Monitoring Year","2022-2023","Analyte","EC","Data Source",))</f>
        <v>12</v>
      </c>
      <c r="R14" s="79">
        <f t="shared" si="1"/>
        <v>0.63157894736842102</v>
      </c>
      <c r="S14" s="80"/>
      <c r="T14" s="80"/>
      <c r="U14" s="80"/>
    </row>
    <row r="15" spans="1:21" x14ac:dyDescent="0.25">
      <c r="E15" t="s">
        <v>225</v>
      </c>
      <c r="F15" s="20">
        <v>6</v>
      </c>
      <c r="G15" s="43">
        <v>2</v>
      </c>
      <c r="K15" s="61"/>
      <c r="L15" s="61" t="s">
        <v>136</v>
      </c>
      <c r="M15" s="74" t="s">
        <v>116</v>
      </c>
      <c r="N15" s="74" t="s">
        <v>225</v>
      </c>
      <c r="O15" s="74">
        <v>400</v>
      </c>
      <c r="P15" s="74">
        <f>GETPIVOTDATA("Count of Result",$A$2,"Copermittee","LAKE FOREST","TMDL Segment","Aliso Creek","Monitoring Year","2020-2021","Analyte","FC","Data Source",)</f>
        <v>5</v>
      </c>
      <c r="Q15" s="74">
        <f>GETPIVOTDATA("Sum of Exceed",$A$2,"Copermittee","LAKE FOREST","TMDL Segment","Aliso Creek","Monitoring Year","2020-2021","Analyte","FC","Data Source",)</f>
        <v>4</v>
      </c>
      <c r="R15" s="75">
        <f>(Q15/P15)</f>
        <v>0.8</v>
      </c>
      <c r="S15" s="76">
        <f>MAX(R23:R25)</f>
        <v>1</v>
      </c>
      <c r="T15" s="76">
        <f>MAX(R15:R17)</f>
        <v>1</v>
      </c>
      <c r="U15" s="76">
        <f>MAX(R19:R21)</f>
        <v>1</v>
      </c>
    </row>
    <row r="16" spans="1:21" x14ac:dyDescent="0.25">
      <c r="E16" t="s">
        <v>228</v>
      </c>
      <c r="F16" s="20">
        <v>6</v>
      </c>
      <c r="G16" s="43">
        <v>1</v>
      </c>
      <c r="K16" s="61"/>
      <c r="L16" s="61"/>
      <c r="M16" s="14" t="s">
        <v>115</v>
      </c>
      <c r="N16" s="14" t="s">
        <v>225</v>
      </c>
      <c r="O16" s="14">
        <v>400</v>
      </c>
      <c r="P16" s="14">
        <f>GETPIVOTDATA("Count of Result",$A$2,"Copermittee","LAKE FOREST","TMDL Segment","Aliso Creek","Monitoring Year","2021-2022","Analyte","FC","Data Source",)</f>
        <v>2</v>
      </c>
      <c r="Q16" s="14">
        <f>GETPIVOTDATA("Sum of Exceed",$A$2,"Copermittee","LAKE FOREST","TMDL Segment","Aliso Creek","Monitoring Year","2021-2022","Analyte","FC","Data Source",)</f>
        <v>2</v>
      </c>
      <c r="R16" s="18">
        <f t="shared" ref="R16:R17" si="2">(Q16/P16)</f>
        <v>1</v>
      </c>
      <c r="S16" s="61"/>
      <c r="T16" s="61"/>
      <c r="U16" s="61"/>
    </row>
    <row r="17" spans="2:21" x14ac:dyDescent="0.25">
      <c r="D17" t="s">
        <v>186</v>
      </c>
      <c r="E17" t="s">
        <v>224</v>
      </c>
      <c r="F17" s="20">
        <v>6</v>
      </c>
      <c r="G17" s="43">
        <v>5</v>
      </c>
      <c r="K17" s="61"/>
      <c r="L17" s="61"/>
      <c r="M17" s="14" t="s">
        <v>107</v>
      </c>
      <c r="N17" s="14" t="s">
        <v>225</v>
      </c>
      <c r="O17" s="14">
        <v>400</v>
      </c>
      <c r="P17" s="14">
        <f>GETPIVOTDATA("Count of Result",$A$2,"Copermittee","LAKE FOREST","TMDL Segment","Aliso Creek","Monitoring Year","2022-2023","Analyte","FC","Data Source",)</f>
        <v>3</v>
      </c>
      <c r="Q17" s="14">
        <f>GETPIVOTDATA("Sum of Exceed",$A$2,"Copermittee","LAKE FOREST","TMDL Segment","Aliso Creek","Monitoring Year","2022-2023","Analyte","FC","Data Source",)</f>
        <v>2</v>
      </c>
      <c r="R17" s="18">
        <f t="shared" si="2"/>
        <v>0.66666666666666663</v>
      </c>
      <c r="S17" s="61"/>
      <c r="T17" s="61"/>
      <c r="U17" s="61"/>
    </row>
    <row r="18" spans="2:21" x14ac:dyDescent="0.25">
      <c r="E18" t="s">
        <v>225</v>
      </c>
      <c r="F18" s="20">
        <v>6</v>
      </c>
      <c r="G18" s="43">
        <v>2</v>
      </c>
      <c r="K18" s="61"/>
      <c r="L18" s="61"/>
      <c r="M18" s="14"/>
      <c r="N18" s="14"/>
      <c r="O18" s="14"/>
      <c r="P18" s="14"/>
      <c r="Q18" s="14"/>
      <c r="R18" s="42"/>
      <c r="S18" s="64"/>
      <c r="T18" s="64"/>
      <c r="U18" s="64"/>
    </row>
    <row r="19" spans="2:21" x14ac:dyDescent="0.25">
      <c r="E19" t="s">
        <v>228</v>
      </c>
      <c r="F19" s="20">
        <v>6</v>
      </c>
      <c r="G19" s="43">
        <v>2</v>
      </c>
      <c r="K19" s="61"/>
      <c r="L19" s="61"/>
      <c r="M19" s="14" t="s">
        <v>116</v>
      </c>
      <c r="N19" s="14" t="s">
        <v>224</v>
      </c>
      <c r="O19" s="14">
        <v>110</v>
      </c>
      <c r="P19" s="14">
        <f>GETPIVOTDATA("Count of Result",$A$2,"Copermittee","LAKE FOREST","TMDL Segment","Aliso Creek","Monitoring Year","2020-2021","Analyte","ENT","Data Source",)</f>
        <v>5</v>
      </c>
      <c r="Q19" s="14">
        <f>GETPIVOTDATA("Sum of Exceed",$A$2,"Copermittee","LAKE FOREST","TMDL Segment","Aliso Creek","Monitoring Year","2020-2021","Analyte","ENT","Data Source",)</f>
        <v>4</v>
      </c>
      <c r="R19" s="18">
        <f>(Q19/P19)</f>
        <v>0.8</v>
      </c>
      <c r="S19" s="64"/>
      <c r="T19" s="64"/>
      <c r="U19" s="64"/>
    </row>
    <row r="20" spans="2:21" x14ac:dyDescent="0.25">
      <c r="D20" t="s">
        <v>20</v>
      </c>
      <c r="E20" t="s">
        <v>224</v>
      </c>
      <c r="F20" s="20">
        <v>6</v>
      </c>
      <c r="G20" s="43">
        <v>4</v>
      </c>
      <c r="K20" s="61"/>
      <c r="L20" s="61"/>
      <c r="M20" s="14" t="s">
        <v>115</v>
      </c>
      <c r="N20" s="14" t="s">
        <v>224</v>
      </c>
      <c r="O20" s="14">
        <v>110</v>
      </c>
      <c r="P20" s="14">
        <f>GETPIVOTDATA("Count of Result",$A$2,"Copermittee","LAKE FOREST","TMDL Segment","Aliso Creek","Monitoring Year","2021-2022","Analyte","ENT","Data Source",)</f>
        <v>2</v>
      </c>
      <c r="Q20" s="14">
        <f>GETPIVOTDATA("Sum of Exceed",$A$2,"Copermittee","LAKE FOREST","TMDL Segment","Aliso Creek","Monitoring Year","2021-2022","Analyte","ENT","Data Source",)</f>
        <v>2</v>
      </c>
      <c r="R20" s="18">
        <f t="shared" ref="R20:R25" si="3">(Q20/P20)</f>
        <v>1</v>
      </c>
      <c r="S20" s="64"/>
      <c r="T20" s="64"/>
      <c r="U20" s="64"/>
    </row>
    <row r="21" spans="2:21" x14ac:dyDescent="0.25">
      <c r="E21" t="s">
        <v>225</v>
      </c>
      <c r="F21" s="20">
        <v>6</v>
      </c>
      <c r="G21" s="43">
        <v>1</v>
      </c>
      <c r="K21" s="61"/>
      <c r="L21" s="61"/>
      <c r="M21" s="14" t="s">
        <v>107</v>
      </c>
      <c r="N21" s="14" t="s">
        <v>224</v>
      </c>
      <c r="O21" s="14">
        <v>110</v>
      </c>
      <c r="P21" s="14">
        <f>GETPIVOTDATA("Count of Result",$A$2,"Copermittee","LAKE FOREST","TMDL Segment","Aliso Creek","Monitoring Year","2022-2023","Analyte","ENT","Data Source",)</f>
        <v>3</v>
      </c>
      <c r="Q21" s="14">
        <f>GETPIVOTDATA("Sum of Exceed",$A$2,"Copermittee","LAKE FOREST","TMDL Segment","Aliso Creek","Monitoring Year","2022-2023","Analyte","ENT","Data Source",)</f>
        <v>3</v>
      </c>
      <c r="R21" s="18">
        <f t="shared" si="3"/>
        <v>1</v>
      </c>
      <c r="S21" s="64"/>
      <c r="T21" s="64"/>
      <c r="U21" s="64"/>
    </row>
    <row r="22" spans="2:21" x14ac:dyDescent="0.25">
      <c r="E22" t="s">
        <v>228</v>
      </c>
      <c r="F22" s="20">
        <v>6</v>
      </c>
      <c r="G22" s="43">
        <v>4</v>
      </c>
      <c r="K22" s="61"/>
      <c r="L22" s="61"/>
      <c r="M22" s="14"/>
      <c r="N22" s="14"/>
      <c r="O22" s="14"/>
      <c r="P22" s="14"/>
      <c r="Q22" s="14"/>
      <c r="R22" s="42"/>
      <c r="S22" s="64"/>
      <c r="T22" s="64"/>
      <c r="U22" s="64"/>
    </row>
    <row r="23" spans="2:21" x14ac:dyDescent="0.25">
      <c r="C23" t="s">
        <v>51</v>
      </c>
      <c r="F23" s="20">
        <v>54</v>
      </c>
      <c r="G23" s="43">
        <v>25</v>
      </c>
      <c r="K23" s="61"/>
      <c r="L23" s="61"/>
      <c r="M23" s="14" t="s">
        <v>116</v>
      </c>
      <c r="N23" s="14" t="s">
        <v>228</v>
      </c>
      <c r="O23" s="14">
        <v>320</v>
      </c>
      <c r="P23" s="14">
        <f>GETPIVOTDATA("Count of Result",$A$2,"Copermittee","LAKE FOREST","TMDL Segment","Aliso Creek","Monitoring Year","2020-2021","Analyte","EC","Data Source",)</f>
        <v>5</v>
      </c>
      <c r="Q23" s="14">
        <f>GETPIVOTDATA("Sum of Exceed",$A$2,"Copermittee","LAKE FOREST","TMDL Segment","Aliso Creek","Monitoring Year","2020-2021","Analyte","EC","Data Source",)</f>
        <v>5</v>
      </c>
      <c r="R23" s="18">
        <f t="shared" ref="R23:R25" si="4">(Q23/P23)</f>
        <v>1</v>
      </c>
      <c r="S23" s="64"/>
      <c r="T23" s="64"/>
      <c r="U23" s="64"/>
    </row>
    <row r="24" spans="2:21" x14ac:dyDescent="0.25">
      <c r="B24" t="s">
        <v>138</v>
      </c>
      <c r="C24" t="s">
        <v>50</v>
      </c>
      <c r="D24" t="s">
        <v>29</v>
      </c>
      <c r="E24" t="s">
        <v>224</v>
      </c>
      <c r="F24" s="20">
        <v>8</v>
      </c>
      <c r="G24" s="43">
        <v>7</v>
      </c>
      <c r="K24" s="61"/>
      <c r="L24" s="61"/>
      <c r="M24" s="14" t="s">
        <v>115</v>
      </c>
      <c r="N24" s="14" t="s">
        <v>228</v>
      </c>
      <c r="O24" s="14">
        <v>320</v>
      </c>
      <c r="P24" s="14">
        <f>GETPIVOTDATA("Count of Result",$A$2,"Copermittee","LAKE FOREST","TMDL Segment","Aliso Creek","Monitoring Year","2021-2022","Analyte","EC","Data Source",)</f>
        <v>2</v>
      </c>
      <c r="Q24" s="14">
        <f>GETPIVOTDATA("Sum of Exceed",$A$2,"Copermittee","LAKE FOREST","TMDL Segment","Aliso Creek","Monitoring Year","2021-2022","Analyte","EC","Data Source",)</f>
        <v>2</v>
      </c>
      <c r="R24" s="18">
        <f t="shared" si="4"/>
        <v>1</v>
      </c>
      <c r="S24" s="64"/>
      <c r="T24" s="64"/>
      <c r="U24" s="64"/>
    </row>
    <row r="25" spans="2:21" ht="15.75" thickBot="1" x14ac:dyDescent="0.3">
      <c r="E25" t="s">
        <v>225</v>
      </c>
      <c r="F25" s="20">
        <v>8</v>
      </c>
      <c r="G25" s="43">
        <v>6</v>
      </c>
      <c r="K25" s="61"/>
      <c r="L25" s="77"/>
      <c r="M25" s="78" t="s">
        <v>107</v>
      </c>
      <c r="N25" s="78" t="s">
        <v>228</v>
      </c>
      <c r="O25" s="78">
        <v>320</v>
      </c>
      <c r="P25" s="78">
        <f>GETPIVOTDATA("Count of Result",$A$2,"Copermittee","LAKE FOREST","TMDL Segment","Aliso Creek","Monitoring Year","2022-2023","Analyte","EC","Data Source",)</f>
        <v>3</v>
      </c>
      <c r="Q25" s="78">
        <f>GETPIVOTDATA("Sum of Exceed",$A$2,"Copermittee","LAKE FOREST","TMDL Segment","Aliso Creek","Monitoring Year","2022-2023","Analyte","EC","Data Source",)</f>
        <v>2</v>
      </c>
      <c r="R25" s="79">
        <f t="shared" si="4"/>
        <v>0.66666666666666663</v>
      </c>
      <c r="S25" s="80"/>
      <c r="T25" s="80"/>
      <c r="U25" s="80"/>
    </row>
    <row r="26" spans="2:21" x14ac:dyDescent="0.25">
      <c r="E26" t="s">
        <v>228</v>
      </c>
      <c r="F26" s="20">
        <v>8</v>
      </c>
      <c r="G26" s="43">
        <v>5</v>
      </c>
      <c r="K26" s="61"/>
      <c r="L26" s="82" t="s">
        <v>258</v>
      </c>
      <c r="M26" s="83" t="s">
        <v>116</v>
      </c>
      <c r="N26" s="83" t="s">
        <v>225</v>
      </c>
      <c r="O26" s="83">
        <v>400</v>
      </c>
      <c r="P26" s="83">
        <f>GETPIVOTDATA("Count of Result",$A$2,"Copermittee","LAGUNA NIGUEL","TMDL Segment","Aliso Creek","Monitoring Year","2020-2021","Analyte","FC","Data Source",)</f>
        <v>6</v>
      </c>
      <c r="Q26" s="83">
        <f>GETPIVOTDATA("Sum of Exceed",$A$2,"Copermittee","LAGUNA NIGUEL","TMDL Segment","Aliso Creek","Monitoring Year","2020-2021","Analyte","FC","Data Source",)</f>
        <v>1</v>
      </c>
      <c r="R26" s="84">
        <f>(Q26/P26)</f>
        <v>0.16666666666666666</v>
      </c>
      <c r="S26" s="85">
        <f>MAX(R34:R36)</f>
        <v>0.66666666666666663</v>
      </c>
      <c r="T26" s="85">
        <f>MAX(R26:R28)</f>
        <v>0.33333333333333331</v>
      </c>
      <c r="U26" s="85">
        <f>MAX(R30:R32)</f>
        <v>0.83333333333333337</v>
      </c>
    </row>
    <row r="27" spans="2:21" x14ac:dyDescent="0.25">
      <c r="D27" t="s">
        <v>186</v>
      </c>
      <c r="E27" t="s">
        <v>224</v>
      </c>
      <c r="F27" s="20">
        <v>9</v>
      </c>
      <c r="G27" s="43">
        <v>9</v>
      </c>
      <c r="K27" s="61"/>
      <c r="L27" s="73"/>
      <c r="M27" s="14" t="s">
        <v>115</v>
      </c>
      <c r="N27" s="14" t="s">
        <v>225</v>
      </c>
      <c r="O27" s="14">
        <v>400</v>
      </c>
      <c r="P27" s="14">
        <f>GETPIVOTDATA("Count of Result",$A$2,"Copermittee","LAGUNA NIGUEL","TMDL Segment","Aliso Creek","Monitoring Year","2021-2022","Analyte","FC","Data Source",)</f>
        <v>6</v>
      </c>
      <c r="Q27" s="14">
        <f>GETPIVOTDATA("Sum of Exceed",$A$2,"Copermittee","LAGUNA NIGUEL","TMDL Segment","Aliso Creek","Monitoring Year","2021-2022","Analyte","FC","Data Source",)</f>
        <v>2</v>
      </c>
      <c r="R27" s="18">
        <f t="shared" ref="R27:R28" si="5">(Q27/P27)</f>
        <v>0.33333333333333331</v>
      </c>
      <c r="S27" s="61"/>
      <c r="T27" s="61"/>
      <c r="U27" s="61"/>
    </row>
    <row r="28" spans="2:21" x14ac:dyDescent="0.25">
      <c r="E28" t="s">
        <v>225</v>
      </c>
      <c r="F28" s="20">
        <v>9</v>
      </c>
      <c r="G28" s="43">
        <v>8</v>
      </c>
      <c r="K28" s="61"/>
      <c r="L28" s="73"/>
      <c r="M28" s="14" t="s">
        <v>107</v>
      </c>
      <c r="N28" s="14" t="s">
        <v>225</v>
      </c>
      <c r="O28" s="14">
        <v>400</v>
      </c>
      <c r="P28" s="14">
        <f>GETPIVOTDATA("Count of Result",$A$2,"Copermittee","LAGUNA NIGUEL","TMDL Segment","Aliso Creek","Monitoring Year","2022-2023","Analyte","FC","Data Source",)</f>
        <v>6</v>
      </c>
      <c r="Q28" s="14">
        <f>GETPIVOTDATA("Sum of Exceed",$A$2,"Copermittee","LAGUNA NIGUEL","TMDL Segment","Aliso Creek","Monitoring Year","2022-2023","Analyte","FC","Data Source",)</f>
        <v>2</v>
      </c>
      <c r="R28" s="18">
        <f t="shared" si="5"/>
        <v>0.33333333333333331</v>
      </c>
      <c r="S28" s="61"/>
      <c r="T28" s="61"/>
      <c r="U28" s="61"/>
    </row>
    <row r="29" spans="2:21" x14ac:dyDescent="0.25">
      <c r="E29" t="s">
        <v>228</v>
      </c>
      <c r="F29" s="20">
        <v>9</v>
      </c>
      <c r="G29" s="43">
        <v>8</v>
      </c>
      <c r="K29" s="61"/>
      <c r="L29" s="73"/>
      <c r="M29" s="14"/>
      <c r="N29" s="14"/>
      <c r="O29" s="14"/>
      <c r="P29" s="14"/>
      <c r="Q29" s="14"/>
      <c r="R29" s="42"/>
      <c r="S29" s="64"/>
      <c r="T29" s="64"/>
      <c r="U29" s="64"/>
    </row>
    <row r="30" spans="2:21" x14ac:dyDescent="0.25">
      <c r="D30" t="s">
        <v>20</v>
      </c>
      <c r="E30" t="s">
        <v>224</v>
      </c>
      <c r="F30" s="20">
        <v>8</v>
      </c>
      <c r="G30" s="43">
        <v>7</v>
      </c>
      <c r="K30" s="61"/>
      <c r="L30" s="73"/>
      <c r="M30" s="14" t="s">
        <v>116</v>
      </c>
      <c r="N30" s="14" t="s">
        <v>224</v>
      </c>
      <c r="O30" s="14">
        <v>110</v>
      </c>
      <c r="P30" s="14">
        <f>GETPIVOTDATA("Count of Result",$A$2,"Copermittee","LAGUNA NIGUEL","TMDL Segment","Aliso Creek","Monitoring Year","2020-2021","Analyte","ENT","Data Source",)</f>
        <v>6</v>
      </c>
      <c r="Q30" s="14">
        <f>GETPIVOTDATA("Sum of Exceed",$A$2,"Copermittee","LAGUNA NIGUEL","TMDL Segment","Aliso Creek","Monitoring Year","2020-2021","Analyte","ENT","Data Source",)</f>
        <v>4</v>
      </c>
      <c r="R30" s="18">
        <f>(Q30/P30)</f>
        <v>0.66666666666666663</v>
      </c>
      <c r="S30" s="64"/>
      <c r="T30" s="64"/>
      <c r="U30" s="64"/>
    </row>
    <row r="31" spans="2:21" x14ac:dyDescent="0.25">
      <c r="E31" t="s">
        <v>225</v>
      </c>
      <c r="F31" s="20">
        <v>8</v>
      </c>
      <c r="G31" s="43">
        <v>6</v>
      </c>
      <c r="K31" s="61"/>
      <c r="L31" s="73"/>
      <c r="M31" s="14" t="s">
        <v>115</v>
      </c>
      <c r="N31" s="14" t="s">
        <v>224</v>
      </c>
      <c r="O31" s="14">
        <v>110</v>
      </c>
      <c r="P31" s="14">
        <f>GETPIVOTDATA("Count of Result",$A$2,"Copermittee","LAGUNA NIGUEL","TMDL Segment","Aliso Creek","Monitoring Year","2021-2022","Analyte","ENT","Data Source",)</f>
        <v>6</v>
      </c>
      <c r="Q31" s="14">
        <f>GETPIVOTDATA("Sum of Exceed",$A$2,"Copermittee","LAGUNA NIGUEL","TMDL Segment","Aliso Creek","Monitoring Year","2021-2022","Analyte","ENT","Data Source",)</f>
        <v>4</v>
      </c>
      <c r="R31" s="18">
        <f t="shared" ref="R31:R36" si="6">(Q31/P31)</f>
        <v>0.66666666666666663</v>
      </c>
      <c r="S31" s="64"/>
      <c r="T31" s="64"/>
      <c r="U31" s="64"/>
    </row>
    <row r="32" spans="2:21" x14ac:dyDescent="0.25">
      <c r="E32" t="s">
        <v>228</v>
      </c>
      <c r="F32" s="20">
        <v>8</v>
      </c>
      <c r="G32" s="43">
        <v>7</v>
      </c>
      <c r="K32" s="61"/>
      <c r="L32" s="73"/>
      <c r="M32" s="14" t="s">
        <v>107</v>
      </c>
      <c r="N32" s="14" t="s">
        <v>224</v>
      </c>
      <c r="O32" s="14">
        <v>110</v>
      </c>
      <c r="P32" s="14">
        <f>GETPIVOTDATA("Count of Result",$A$2,"Copermittee","LAGUNA NIGUEL","TMDL Segment","Aliso Creek","Monitoring Year","2022-2023","Analyte","ENT","Data Source",)</f>
        <v>6</v>
      </c>
      <c r="Q32" s="14">
        <f>GETPIVOTDATA("Sum of Exceed",$A$2,"Copermittee","LAGUNA NIGUEL","TMDL Segment","Aliso Creek","Monitoring Year","2022-2023","Analyte","ENT","Data Source",)</f>
        <v>5</v>
      </c>
      <c r="R32" s="18">
        <f t="shared" si="6"/>
        <v>0.83333333333333337</v>
      </c>
      <c r="S32" s="64"/>
      <c r="T32" s="64"/>
      <c r="U32" s="64"/>
    </row>
    <row r="33" spans="1:21" x14ac:dyDescent="0.25">
      <c r="C33" t="s">
        <v>51</v>
      </c>
      <c r="F33" s="20">
        <v>75</v>
      </c>
      <c r="G33" s="43">
        <v>63</v>
      </c>
      <c r="K33" s="61"/>
      <c r="L33" s="73"/>
      <c r="M33" s="14"/>
      <c r="N33" s="14"/>
      <c r="O33" s="14"/>
      <c r="P33" s="14"/>
      <c r="Q33" s="14"/>
      <c r="R33" s="42"/>
      <c r="S33" s="64"/>
      <c r="T33" s="64"/>
      <c r="U33" s="64"/>
    </row>
    <row r="34" spans="1:21" x14ac:dyDescent="0.25">
      <c r="B34" t="s">
        <v>140</v>
      </c>
      <c r="C34" t="s">
        <v>50</v>
      </c>
      <c r="D34" t="s">
        <v>186</v>
      </c>
      <c r="E34" t="s">
        <v>224</v>
      </c>
      <c r="F34" s="20">
        <v>1</v>
      </c>
      <c r="G34" s="43">
        <v>1</v>
      </c>
      <c r="K34" s="61"/>
      <c r="L34" s="73"/>
      <c r="M34" s="14" t="s">
        <v>116</v>
      </c>
      <c r="N34" s="14" t="s">
        <v>228</v>
      </c>
      <c r="O34" s="14">
        <v>320</v>
      </c>
      <c r="P34" s="14">
        <f>GETPIVOTDATA("Count of Result",$A$2,"Copermittee","LAGUNA NIGUEL","TMDL Segment","Aliso Creek","Monitoring Year","2020-2021","Analyte","EC","Data Source",)</f>
        <v>6</v>
      </c>
      <c r="Q34" s="14">
        <f>GETPIVOTDATA("Sum of Exceed",$A$2,"Copermittee","LAGUNA NIGUEL","TMDL Segment","Aliso Creek","Monitoring Year","2020-2021","Analyte","EC","Data Source",)</f>
        <v>4</v>
      </c>
      <c r="R34" s="18">
        <f t="shared" ref="R34:R36" si="7">(Q34/P34)</f>
        <v>0.66666666666666663</v>
      </c>
      <c r="S34" s="64"/>
      <c r="T34" s="64"/>
      <c r="U34" s="64"/>
    </row>
    <row r="35" spans="1:21" x14ac:dyDescent="0.25">
      <c r="E35" t="s">
        <v>225</v>
      </c>
      <c r="F35" s="20">
        <v>1</v>
      </c>
      <c r="G35" s="43">
        <v>0</v>
      </c>
      <c r="K35" s="61"/>
      <c r="L35" s="73"/>
      <c r="M35" s="14" t="s">
        <v>115</v>
      </c>
      <c r="N35" s="14" t="s">
        <v>228</v>
      </c>
      <c r="O35" s="14">
        <v>320</v>
      </c>
      <c r="P35" s="14">
        <f>GETPIVOTDATA("Count of Result",$A$2,"Copermittee","LAGUNA NIGUEL","TMDL Segment","Aliso Creek","Monitoring Year","2021-2022","Analyte","EC","Data Source",)</f>
        <v>6</v>
      </c>
      <c r="Q35" s="14">
        <f>GETPIVOTDATA("Sum of Exceed",$A$2,"Copermittee","LAGUNA NIGUEL","TMDL Segment","Aliso Creek","Monitoring Year","2021-2022","Analyte","EC","Data Source",)</f>
        <v>1</v>
      </c>
      <c r="R35" s="18">
        <f t="shared" si="7"/>
        <v>0.16666666666666666</v>
      </c>
      <c r="S35" s="64"/>
      <c r="T35" s="64"/>
      <c r="U35" s="64"/>
    </row>
    <row r="36" spans="1:21" ht="15.75" thickBot="1" x14ac:dyDescent="0.3">
      <c r="E36" t="s">
        <v>228</v>
      </c>
      <c r="F36" s="20">
        <v>1</v>
      </c>
      <c r="G36" s="43">
        <v>0</v>
      </c>
      <c r="K36" s="61"/>
      <c r="L36" s="86"/>
      <c r="M36" s="78" t="s">
        <v>107</v>
      </c>
      <c r="N36" s="78" t="s">
        <v>228</v>
      </c>
      <c r="O36" s="78">
        <v>320</v>
      </c>
      <c r="P36" s="78">
        <f>GETPIVOTDATA("Count of Result",$A$2,"Copermittee","LAGUNA NIGUEL","TMDL Segment","Aliso Creek","Monitoring Year","2022-2023","Analyte","EC","Data Source",)</f>
        <v>6</v>
      </c>
      <c r="Q36" s="78">
        <f>GETPIVOTDATA("Sum of Exceed",$A$2,"Copermittee","LAGUNA NIGUEL","TMDL Segment","Aliso Creek","Monitoring Year","2022-2023","Analyte","EC","Data Source",)</f>
        <v>2</v>
      </c>
      <c r="R36" s="79">
        <f t="shared" si="7"/>
        <v>0.33333333333333331</v>
      </c>
      <c r="S36" s="80"/>
      <c r="T36" s="80"/>
      <c r="U36" s="80"/>
    </row>
    <row r="37" spans="1:21" x14ac:dyDescent="0.25">
      <c r="C37" t="s">
        <v>51</v>
      </c>
      <c r="F37" s="20">
        <v>3</v>
      </c>
      <c r="G37" s="43">
        <v>1</v>
      </c>
      <c r="K37" s="61"/>
      <c r="L37" s="81" t="s">
        <v>138</v>
      </c>
      <c r="M37" s="83" t="s">
        <v>116</v>
      </c>
      <c r="N37" s="83" t="s">
        <v>225</v>
      </c>
      <c r="O37" s="83">
        <v>400</v>
      </c>
      <c r="P37" s="83">
        <f>GETPIVOTDATA("Count of Result",$A$2,"Copermittee","ALISO VIEJO","TMDL Segment","Aliso Creek","Monitoring Year","2020-2021","Analyte","FC","Data Source",)</f>
        <v>8</v>
      </c>
      <c r="Q37" s="83">
        <f>GETPIVOTDATA("Sum of Exceed",$A$2,"Copermittee","ALISO VIEJO","TMDL Segment","Aliso Creek","Monitoring Year","2020-2021","Analyte","FC","Data Source",)</f>
        <v>6</v>
      </c>
      <c r="R37" s="84">
        <f>(Q37/P37)</f>
        <v>0.75</v>
      </c>
      <c r="S37" s="85">
        <f>MAX(R45:R47)</f>
        <v>1</v>
      </c>
      <c r="T37" s="85">
        <f>MAX(R37:R39)</f>
        <v>0.88888888888888884</v>
      </c>
      <c r="U37" s="85">
        <f>MAX(R41:R43)</f>
        <v>1</v>
      </c>
    </row>
    <row r="38" spans="1:21" x14ac:dyDescent="0.25">
      <c r="A38" t="s">
        <v>253</v>
      </c>
      <c r="F38" s="20">
        <v>162</v>
      </c>
      <c r="G38" s="43">
        <v>115</v>
      </c>
      <c r="K38" s="61"/>
      <c r="L38" s="61"/>
      <c r="M38" s="14" t="s">
        <v>115</v>
      </c>
      <c r="N38" s="14" t="s">
        <v>225</v>
      </c>
      <c r="O38" s="14">
        <v>400</v>
      </c>
      <c r="P38" s="14">
        <f>GETPIVOTDATA("Count of Result",$A$2,"Copermittee","ALISO VIEJO","TMDL Segment","Aliso Creek","Monitoring Year","2021-2022","Analyte","FC","Data Source",)</f>
        <v>8</v>
      </c>
      <c r="Q38" s="14">
        <f>GETPIVOTDATA("Sum of Exceed",$A$2,"Copermittee","ALISO VIEJO","TMDL Segment","Aliso Creek","Monitoring Year","2021-2022","Analyte","FC","Data Source",)</f>
        <v>6</v>
      </c>
      <c r="R38" s="18">
        <f t="shared" ref="R38:R39" si="8">(Q38/P38)</f>
        <v>0.75</v>
      </c>
      <c r="S38" s="61"/>
      <c r="T38" s="61"/>
      <c r="U38" s="61"/>
    </row>
    <row r="39" spans="1:21" x14ac:dyDescent="0.25">
      <c r="A39" t="s">
        <v>135</v>
      </c>
      <c r="B39" t="s">
        <v>110</v>
      </c>
      <c r="C39" t="s">
        <v>50</v>
      </c>
      <c r="D39" t="s">
        <v>29</v>
      </c>
      <c r="E39" t="s">
        <v>224</v>
      </c>
      <c r="F39" s="20">
        <v>3</v>
      </c>
      <c r="G39" s="43">
        <v>3</v>
      </c>
      <c r="K39" s="61"/>
      <c r="L39" s="61"/>
      <c r="M39" s="14" t="s">
        <v>107</v>
      </c>
      <c r="N39" s="14" t="s">
        <v>225</v>
      </c>
      <c r="O39" s="14">
        <v>400</v>
      </c>
      <c r="P39" s="14">
        <f>GETPIVOTDATA("Count of Result",$A$2,"Copermittee","ALISO VIEJO","TMDL Segment","Aliso Creek","Monitoring Year","2022-2023","Analyte","FC","Data Source",)</f>
        <v>9</v>
      </c>
      <c r="Q39" s="14">
        <f>GETPIVOTDATA("Sum of Exceed",$A$2,"Copermittee","ALISO VIEJO","TMDL Segment","Aliso Creek","Monitoring Year","2022-2023","Analyte","FC","Data Source",)</f>
        <v>8</v>
      </c>
      <c r="R39" s="18">
        <f t="shared" si="8"/>
        <v>0.88888888888888884</v>
      </c>
      <c r="S39" s="61"/>
      <c r="T39" s="61"/>
      <c r="U39" s="61"/>
    </row>
    <row r="40" spans="1:21" x14ac:dyDescent="0.25">
      <c r="E40" t="s">
        <v>225</v>
      </c>
      <c r="F40" s="20">
        <v>3</v>
      </c>
      <c r="G40" s="43">
        <v>3</v>
      </c>
      <c r="K40" s="61"/>
      <c r="L40" s="61"/>
      <c r="M40" s="14"/>
      <c r="N40" s="14"/>
      <c r="O40" s="14"/>
      <c r="P40" s="14"/>
      <c r="Q40" s="14"/>
      <c r="R40" s="42"/>
      <c r="S40" s="64"/>
      <c r="T40" s="64"/>
      <c r="U40" s="64"/>
    </row>
    <row r="41" spans="1:21" x14ac:dyDescent="0.25">
      <c r="E41" t="s">
        <v>228</v>
      </c>
      <c r="F41" s="20">
        <v>3</v>
      </c>
      <c r="G41" s="43">
        <v>3</v>
      </c>
      <c r="K41" s="61"/>
      <c r="L41" s="61"/>
      <c r="M41" s="14" t="s">
        <v>116</v>
      </c>
      <c r="N41" s="14" t="s">
        <v>224</v>
      </c>
      <c r="O41" s="14">
        <v>110</v>
      </c>
      <c r="P41" s="14">
        <f>GETPIVOTDATA("Count of Result",$A$2,"Copermittee","ALISO VIEJO","TMDL Segment","Aliso Creek","Monitoring Year","2020-2021","Analyte","ENT","Data Source",)</f>
        <v>8</v>
      </c>
      <c r="Q41" s="14">
        <f>GETPIVOTDATA("Sum of Exceed",$A$2,"Copermittee","ALISO VIEJO","TMDL Segment","Aliso Creek","Monitoring Year","2020-2021","Analyte","ENT","Data Source",)</f>
        <v>7</v>
      </c>
      <c r="R41" s="18">
        <f>(Q41/P41)</f>
        <v>0.875</v>
      </c>
      <c r="S41" s="64"/>
      <c r="T41" s="64"/>
      <c r="U41" s="64"/>
    </row>
    <row r="42" spans="1:21" x14ac:dyDescent="0.25">
      <c r="D42" t="s">
        <v>186</v>
      </c>
      <c r="E42" t="s">
        <v>224</v>
      </c>
      <c r="F42" s="20">
        <v>4</v>
      </c>
      <c r="G42" s="43">
        <v>4</v>
      </c>
      <c r="K42" s="61"/>
      <c r="L42" s="61"/>
      <c r="M42" s="14" t="s">
        <v>115</v>
      </c>
      <c r="N42" s="14" t="s">
        <v>224</v>
      </c>
      <c r="O42" s="14">
        <v>110</v>
      </c>
      <c r="P42" s="14">
        <f>GETPIVOTDATA("Count of Result",$A$2,"Copermittee","ALISO VIEJO","TMDL Segment","Aliso Creek","Monitoring Year","2021-2022","Analyte","ENT","Data Source",)</f>
        <v>8</v>
      </c>
      <c r="Q42" s="14">
        <f>GETPIVOTDATA("Sum of Exceed",$A$2,"Copermittee","ALISO VIEJO","TMDL Segment","Aliso Creek","Monitoring Year","2021-2022","Analyte","ENT","Data Source",)</f>
        <v>7</v>
      </c>
      <c r="R42" s="18">
        <f t="shared" ref="R42:R47" si="9">(Q42/P42)</f>
        <v>0.875</v>
      </c>
      <c r="S42" s="64"/>
      <c r="T42" s="64"/>
      <c r="U42" s="64"/>
    </row>
    <row r="43" spans="1:21" x14ac:dyDescent="0.25">
      <c r="E43" t="s">
        <v>225</v>
      </c>
      <c r="F43" s="20">
        <v>4</v>
      </c>
      <c r="G43" s="43">
        <v>3</v>
      </c>
      <c r="K43" s="61"/>
      <c r="L43" s="61"/>
      <c r="M43" s="14" t="s">
        <v>107</v>
      </c>
      <c r="N43" s="14" t="s">
        <v>224</v>
      </c>
      <c r="O43" s="14">
        <v>110</v>
      </c>
      <c r="P43" s="14">
        <f>GETPIVOTDATA("Count of Result",$A$2,"Copermittee","ALISO VIEJO","TMDL Segment","Aliso Creek","Monitoring Year","2022-2023","Analyte","ENT","Data Source",)</f>
        <v>9</v>
      </c>
      <c r="Q43" s="14">
        <f>GETPIVOTDATA("Sum of Exceed",$A$2,"Copermittee","ALISO VIEJO","TMDL Segment","Aliso Creek","Monitoring Year","2022-2023","Analyte","ENT","Data Source",)</f>
        <v>9</v>
      </c>
      <c r="R43" s="18">
        <f t="shared" si="9"/>
        <v>1</v>
      </c>
      <c r="S43" s="64"/>
      <c r="T43" s="64"/>
      <c r="U43" s="64"/>
    </row>
    <row r="44" spans="1:21" x14ac:dyDescent="0.25">
      <c r="E44" t="s">
        <v>228</v>
      </c>
      <c r="F44" s="20">
        <v>4</v>
      </c>
      <c r="G44" s="43">
        <v>2</v>
      </c>
      <c r="K44" s="61"/>
      <c r="L44" s="61"/>
      <c r="M44" s="14"/>
      <c r="N44" s="14"/>
      <c r="O44" s="14"/>
      <c r="P44" s="14"/>
      <c r="Q44" s="14"/>
      <c r="R44" s="42"/>
      <c r="S44" s="64"/>
      <c r="T44" s="64"/>
      <c r="U44" s="64"/>
    </row>
    <row r="45" spans="1:21" x14ac:dyDescent="0.25">
      <c r="D45" t="s">
        <v>20</v>
      </c>
      <c r="E45" t="s">
        <v>224</v>
      </c>
      <c r="F45" s="20">
        <v>2</v>
      </c>
      <c r="G45" s="43">
        <v>2</v>
      </c>
      <c r="K45" s="61"/>
      <c r="L45" s="61"/>
      <c r="M45" s="14" t="s">
        <v>116</v>
      </c>
      <c r="N45" s="14" t="s">
        <v>228</v>
      </c>
      <c r="O45" s="14">
        <v>320</v>
      </c>
      <c r="P45" s="14">
        <f>GETPIVOTDATA("Count of Result",$A$2,"Copermittee","ALISO VIEJO","TMDL Segment","Aliso Creek","Monitoring Year","2021-2022","Analyte","EC","Data Source",)</f>
        <v>8</v>
      </c>
      <c r="Q45" s="14">
        <f>GETPIVOTDATA("Sum of Exceed",$A$2,"Copermittee","ALISO VIEJO","TMDL Segment","Aliso Creek","Monitoring Year","2021-2022","Analyte","EC","Data Source",)</f>
        <v>5</v>
      </c>
      <c r="R45" s="18">
        <f t="shared" ref="R45:R47" si="10">(Q45/P45)</f>
        <v>0.625</v>
      </c>
      <c r="S45" s="64"/>
      <c r="T45" s="64"/>
      <c r="U45" s="64"/>
    </row>
    <row r="46" spans="1:21" x14ac:dyDescent="0.25">
      <c r="E46" t="s">
        <v>225</v>
      </c>
      <c r="F46" s="20">
        <v>2</v>
      </c>
      <c r="G46" s="43">
        <v>1</v>
      </c>
      <c r="K46" s="61"/>
      <c r="L46" s="61"/>
      <c r="M46" s="14" t="s">
        <v>115</v>
      </c>
      <c r="N46" s="14" t="s">
        <v>228</v>
      </c>
      <c r="O46" s="14">
        <v>320</v>
      </c>
      <c r="P46" s="14">
        <f>GETPIVOTDATA("Count of Result",$A$2,"Copermittee","ALISO VIEJO","TMDL Segment","Aliso Creek","Monitoring Year","2020-2021","Analyte","ENT","Data Source",)</f>
        <v>8</v>
      </c>
      <c r="Q46" s="14">
        <f>GETPIVOTDATA("Sum of Exceed",$A$2,"Copermittee","ALISO VIEJO","TMDL Segment","Aliso Creek","Monitoring Year","2020-2021","Analyte","ENT","Data Source",)</f>
        <v>7</v>
      </c>
      <c r="R46" s="18">
        <f t="shared" si="10"/>
        <v>0.875</v>
      </c>
      <c r="S46" s="64"/>
      <c r="T46" s="64"/>
      <c r="U46" s="64"/>
    </row>
    <row r="47" spans="1:21" ht="15.75" thickBot="1" x14ac:dyDescent="0.3">
      <c r="E47" t="s">
        <v>228</v>
      </c>
      <c r="F47" s="20">
        <v>2</v>
      </c>
      <c r="G47" s="43">
        <v>2</v>
      </c>
      <c r="K47" s="61"/>
      <c r="L47" s="77"/>
      <c r="M47" s="78" t="s">
        <v>107</v>
      </c>
      <c r="N47" s="78" t="s">
        <v>228</v>
      </c>
      <c r="O47" s="78">
        <v>320</v>
      </c>
      <c r="P47" s="78">
        <f>GETPIVOTDATA("Count of Result",$A$2,"Copermittee","ALISO VIEJO","TMDL Segment","Aliso Creek","Monitoring Year","2022-2023","Analyte","ENT","Data Source",)</f>
        <v>9</v>
      </c>
      <c r="Q47" s="78">
        <f>GETPIVOTDATA("Sum of Exceed",$A$2,"Copermittee","ALISO VIEJO","TMDL Segment","Aliso Creek","Monitoring Year","2022-2023","Analyte","ENT","Data Source",)</f>
        <v>9</v>
      </c>
      <c r="R47" s="79">
        <f t="shared" si="10"/>
        <v>1</v>
      </c>
      <c r="S47" s="80"/>
      <c r="T47" s="80"/>
      <c r="U47" s="80"/>
    </row>
    <row r="48" spans="1:21" x14ac:dyDescent="0.25">
      <c r="C48" t="s">
        <v>51</v>
      </c>
      <c r="F48" s="20">
        <v>27</v>
      </c>
      <c r="G48" s="43">
        <v>23</v>
      </c>
      <c r="K48" s="61"/>
      <c r="L48" s="82" t="s">
        <v>140</v>
      </c>
      <c r="M48" s="83" t="s">
        <v>116</v>
      </c>
      <c r="N48" s="83" t="s">
        <v>225</v>
      </c>
      <c r="O48" s="83">
        <v>400</v>
      </c>
      <c r="P48" s="83">
        <f>GETPIVOTDATA("Count of Result",$A$2,"Copermittee","DANA POINT","TMDL Segment","Lower SJC","Monitoring Year","2020-2021","Analyte","FC","Data Source",)</f>
        <v>2</v>
      </c>
      <c r="Q48" s="83">
        <f>GETPIVOTDATA("Sum of Exceed",$A$2,"Copermittee","DANA POINT","TMDL Segment","Lower SJC","Monitoring Year","2020-2021","Analyte","FC","Data Source",)</f>
        <v>1</v>
      </c>
      <c r="R48" s="84">
        <f>(Q48/P48)</f>
        <v>0.5</v>
      </c>
      <c r="S48" s="85">
        <f>MAX(R56:R58)</f>
        <v>1</v>
      </c>
      <c r="T48" s="85">
        <f>MAX(R48:R50)</f>
        <v>1</v>
      </c>
      <c r="U48" s="85">
        <f>MAX(R52:R54)</f>
        <v>1</v>
      </c>
    </row>
    <row r="49" spans="1:21" x14ac:dyDescent="0.25">
      <c r="A49" t="s">
        <v>254</v>
      </c>
      <c r="F49" s="20">
        <v>27</v>
      </c>
      <c r="G49" s="43">
        <v>23</v>
      </c>
      <c r="K49" s="61"/>
      <c r="L49" s="73"/>
      <c r="M49" s="14" t="s">
        <v>115</v>
      </c>
      <c r="N49" s="14" t="s">
        <v>225</v>
      </c>
      <c r="O49" s="14">
        <v>400</v>
      </c>
      <c r="P49" s="14">
        <f>GETPIVOTDATA("Count of Result",$A$2,"Copermittee","DANA POINT","TMDL Segment","Lower SJC","Monitoring Year","2021-2022","Analyte","FC","Data Source",)</f>
        <v>3</v>
      </c>
      <c r="Q49" s="14">
        <f>GETPIVOTDATA("Sum of Exceed",$A$2,"Copermittee","DANA POINT","TMDL Segment","Lower SJC","Monitoring Year","2021-2022","Analyte","FC","Data Source",)</f>
        <v>3</v>
      </c>
      <c r="R49" s="18">
        <f t="shared" ref="R49:R50" si="11">(Q49/P49)</f>
        <v>1</v>
      </c>
      <c r="S49" s="61"/>
      <c r="T49" s="61"/>
      <c r="U49" s="61"/>
    </row>
    <row r="50" spans="1:21" x14ac:dyDescent="0.25">
      <c r="A50" t="s">
        <v>50</v>
      </c>
      <c r="B50" t="s">
        <v>138</v>
      </c>
      <c r="C50" t="s">
        <v>50</v>
      </c>
      <c r="D50" t="s">
        <v>186</v>
      </c>
      <c r="E50" t="s">
        <v>224</v>
      </c>
      <c r="F50" s="20">
        <v>4</v>
      </c>
      <c r="G50" s="43">
        <v>4</v>
      </c>
      <c r="K50" s="61"/>
      <c r="L50" s="73"/>
      <c r="M50" s="14" t="s">
        <v>107</v>
      </c>
      <c r="N50" s="14" t="s">
        <v>225</v>
      </c>
      <c r="O50" s="14">
        <v>400</v>
      </c>
      <c r="P50" s="14">
        <f>GETPIVOTDATA("Count of Result",$A$2,"Copermittee","DANA POINT","TMDL Segment","Lower SJC","Monitoring Year","2022-2023","Analyte","FC","Data Source",)</f>
        <v>4</v>
      </c>
      <c r="Q50" s="14">
        <f>GETPIVOTDATA("Sum of Exceed",$A$2,"Copermittee","DANA POINT","TMDL Segment","Lower SJC","Monitoring Year","2022-2023","Analyte","FC","Data Source",)</f>
        <v>3</v>
      </c>
      <c r="R50" s="18">
        <f t="shared" si="11"/>
        <v>0.75</v>
      </c>
      <c r="S50" s="61"/>
      <c r="T50" s="61"/>
      <c r="U50" s="61"/>
    </row>
    <row r="51" spans="1:21" x14ac:dyDescent="0.25">
      <c r="E51" t="s">
        <v>225</v>
      </c>
      <c r="F51" s="20">
        <v>4</v>
      </c>
      <c r="G51" s="43">
        <v>3</v>
      </c>
      <c r="K51" s="61"/>
      <c r="L51" s="73"/>
      <c r="M51" s="14"/>
      <c r="N51" s="14"/>
      <c r="O51" s="14"/>
      <c r="P51" s="14"/>
      <c r="Q51" s="14"/>
      <c r="R51" s="42"/>
      <c r="S51" s="64"/>
      <c r="T51" s="64"/>
      <c r="U51" s="64"/>
    </row>
    <row r="52" spans="1:21" x14ac:dyDescent="0.25">
      <c r="E52" t="s">
        <v>228</v>
      </c>
      <c r="F52" s="20">
        <v>4</v>
      </c>
      <c r="G52" s="43">
        <v>3</v>
      </c>
      <c r="K52" s="61"/>
      <c r="L52" s="73"/>
      <c r="M52" s="14" t="s">
        <v>116</v>
      </c>
      <c r="N52" s="14" t="s">
        <v>224</v>
      </c>
      <c r="O52" s="14">
        <v>110</v>
      </c>
      <c r="P52" s="14">
        <f>GETPIVOTDATA("Count of Result",$A$2,"Copermittee","DANA POINT","TMDL Segment","Lower SJC","Monitoring Year","2020-2021","Analyte","ENT","Data Source",)</f>
        <v>2</v>
      </c>
      <c r="Q52" s="14">
        <f>GETPIVOTDATA("Sum of Exceed",$A$2,"Copermittee","DANA POINT","TMDL Segment","Lower SJC","Monitoring Year","2020-2021","Analyte","ENT","Data Source",)</f>
        <v>2</v>
      </c>
      <c r="R52" s="18">
        <f>(Q52/P52)</f>
        <v>1</v>
      </c>
      <c r="S52" s="64"/>
      <c r="T52" s="64"/>
      <c r="U52" s="64"/>
    </row>
    <row r="53" spans="1:21" x14ac:dyDescent="0.25">
      <c r="C53" t="s">
        <v>51</v>
      </c>
      <c r="F53" s="20">
        <v>12</v>
      </c>
      <c r="G53" s="43">
        <v>10</v>
      </c>
      <c r="K53" s="61"/>
      <c r="L53" s="73"/>
      <c r="M53" s="14" t="s">
        <v>115</v>
      </c>
      <c r="N53" s="14" t="s">
        <v>224</v>
      </c>
      <c r="O53" s="14">
        <v>110</v>
      </c>
      <c r="P53" s="14">
        <f>GETPIVOTDATA("Count of Result",$A$2,"Copermittee","DANA POINT","TMDL Segment","Lower SJC","Monitoring Year","2021-2022","Analyte","ENT","Data Source",)</f>
        <v>3</v>
      </c>
      <c r="Q53" s="14">
        <f>GETPIVOTDATA("Sum of Exceed",$A$2,"Copermittee","DANA POINT","TMDL Segment","Lower SJC","Monitoring Year","2021-2022","Analyte","ENT","Data Source",)</f>
        <v>3</v>
      </c>
      <c r="R53" s="18">
        <f t="shared" ref="R53:R58" si="12">(Q53/P53)</f>
        <v>1</v>
      </c>
      <c r="S53" s="64"/>
      <c r="T53" s="64"/>
      <c r="U53" s="64"/>
    </row>
    <row r="54" spans="1:21" x14ac:dyDescent="0.25">
      <c r="A54" t="s">
        <v>51</v>
      </c>
      <c r="F54" s="20">
        <v>12</v>
      </c>
      <c r="G54" s="43">
        <v>10</v>
      </c>
      <c r="K54" s="61"/>
      <c r="L54" s="73"/>
      <c r="M54" s="14" t="s">
        <v>107</v>
      </c>
      <c r="N54" s="14" t="s">
        <v>224</v>
      </c>
      <c r="O54" s="14">
        <v>110</v>
      </c>
      <c r="P54" s="14">
        <f>GETPIVOTDATA("Count of Result",$A$2,"Copermittee","DANA POINT","TMDL Segment","Lower SJC","Monitoring Year","2022-2023","Analyte","ENT","Data Source",)</f>
        <v>4</v>
      </c>
      <c r="Q54" s="14">
        <f>GETPIVOTDATA("Sum of Exceed",$A$2,"Copermittee","DANA POINT","TMDL Segment","Lower SJC","Monitoring Year","2022-2023","Analyte","ENT","Data Source",)</f>
        <v>4</v>
      </c>
      <c r="R54" s="18">
        <f t="shared" si="12"/>
        <v>1</v>
      </c>
      <c r="S54" s="64"/>
      <c r="T54" s="64"/>
      <c r="U54" s="64"/>
    </row>
    <row r="55" spans="1:21" x14ac:dyDescent="0.25">
      <c r="A55" t="s">
        <v>28</v>
      </c>
      <c r="F55" s="20">
        <v>201</v>
      </c>
      <c r="G55" s="43">
        <v>148</v>
      </c>
      <c r="K55" s="61"/>
      <c r="L55" s="73"/>
      <c r="M55" s="14"/>
      <c r="N55" s="14"/>
      <c r="O55" s="14"/>
      <c r="P55" s="14"/>
      <c r="Q55" s="14"/>
      <c r="R55" s="42"/>
      <c r="S55" s="64"/>
      <c r="T55" s="64"/>
      <c r="U55" s="64"/>
    </row>
    <row r="56" spans="1:21" x14ac:dyDescent="0.25">
      <c r="K56" s="61"/>
      <c r="L56" s="73"/>
      <c r="M56" s="14" t="s">
        <v>116</v>
      </c>
      <c r="N56" s="14" t="s">
        <v>228</v>
      </c>
      <c r="O56" s="14">
        <v>320</v>
      </c>
      <c r="P56" s="14">
        <f>GETPIVOTDATA("Count of Result",$A$2,"Copermittee","DANA POINT","TMDL Segment","Lower SJC","Monitoring Year","2020-2021","Analyte","EC","Data Source",)</f>
        <v>2</v>
      </c>
      <c r="Q56" s="14">
        <f>GETPIVOTDATA("Sum of Exceed",$A$2,"Copermittee","DANA POINT","TMDL Segment","Lower SJC","Monitoring Year","2020-2021","Analyte","EC","Data Source",)</f>
        <v>2</v>
      </c>
      <c r="R56" s="18">
        <f t="shared" ref="R56:R58" si="13">(Q56/P56)</f>
        <v>1</v>
      </c>
      <c r="S56" s="64"/>
      <c r="T56" s="64"/>
      <c r="U56" s="64"/>
    </row>
    <row r="57" spans="1:21" x14ac:dyDescent="0.25">
      <c r="K57" s="61"/>
      <c r="L57" s="73"/>
      <c r="M57" s="14" t="s">
        <v>115</v>
      </c>
      <c r="N57" s="14" t="s">
        <v>228</v>
      </c>
      <c r="O57" s="14">
        <v>320</v>
      </c>
      <c r="P57" s="14">
        <f>GETPIVOTDATA("Count of Result",$A$2,"Copermittee","DANA POINT","TMDL Segment","Lower SJC","Monitoring Year","2021-2022","Analyte","EC","Data Source",)</f>
        <v>3</v>
      </c>
      <c r="Q57" s="14">
        <f>GETPIVOTDATA("Sum of Exceed",$A$2,"Copermittee","DANA POINT","TMDL Segment","Lower SJC","Monitoring Year","2021-2022","Analyte","FC","Data Source",)</f>
        <v>3</v>
      </c>
      <c r="R57" s="18">
        <f t="shared" si="13"/>
        <v>1</v>
      </c>
      <c r="S57" s="64"/>
      <c r="T57" s="64"/>
      <c r="U57" s="64"/>
    </row>
    <row r="58" spans="1:21" ht="15.75" thickBot="1" x14ac:dyDescent="0.3">
      <c r="K58" s="77"/>
      <c r="L58" s="86"/>
      <c r="M58" s="78" t="s">
        <v>107</v>
      </c>
      <c r="N58" s="78" t="s">
        <v>228</v>
      </c>
      <c r="O58" s="78">
        <v>320</v>
      </c>
      <c r="P58" s="78">
        <f>GETPIVOTDATA("Count of Result",$A$2,"Copermittee","DANA POINT","TMDL Segment","Lower SJC","Monitoring Year","2022-2023","Analyte","EC","Data Source",)</f>
        <v>4</v>
      </c>
      <c r="Q58" s="78">
        <f>GETPIVOTDATA("Sum of Exceed",$A$2,"Copermittee","DANA POINT","TMDL Segment","Lower SJC","Monitoring Year","2022-2023","Analyte","EC","Data Source",)</f>
        <v>2</v>
      </c>
      <c r="R58" s="79">
        <f t="shared" si="13"/>
        <v>0.5</v>
      </c>
      <c r="S58" s="80"/>
      <c r="T58" s="80"/>
      <c r="U58" s="80"/>
    </row>
    <row r="59" spans="1:21" x14ac:dyDescent="0.25">
      <c r="K59" s="61" t="s">
        <v>135</v>
      </c>
      <c r="L59" s="61" t="s">
        <v>110</v>
      </c>
      <c r="M59" s="74" t="s">
        <v>116</v>
      </c>
      <c r="N59" s="74" t="s">
        <v>225</v>
      </c>
      <c r="O59" s="74">
        <v>400</v>
      </c>
      <c r="P59" s="74">
        <f>GETPIVOTDATA("Count of Result",$A$2,"Copermittee","DANA POINT","TMDL Segment","Lower SJC","Monitoring Year","2020-2021","Analyte","FC","Data Source",)</f>
        <v>2</v>
      </c>
      <c r="Q59" s="74">
        <f>GETPIVOTDATA("Sum of Exceed",$A$2,"Copermittee","DANA POINT","TMDL Segment","Lower SJC","Monitoring Year","2020-2021","Analyte","FC","Data Source",)</f>
        <v>1</v>
      </c>
      <c r="R59" s="75">
        <f>(Q59/P59)</f>
        <v>0.5</v>
      </c>
      <c r="S59" s="76">
        <f>MAX(R67:R69)</f>
        <v>1</v>
      </c>
      <c r="T59" s="76">
        <f>MAX(R63:R65)</f>
        <v>1</v>
      </c>
      <c r="U59" s="76">
        <f>MAX(R59:R61)</f>
        <v>1</v>
      </c>
    </row>
    <row r="60" spans="1:21" x14ac:dyDescent="0.25">
      <c r="K60" s="61"/>
      <c r="L60" s="61"/>
      <c r="M60" s="14" t="s">
        <v>115</v>
      </c>
      <c r="N60" s="14" t="s">
        <v>225</v>
      </c>
      <c r="O60" s="14">
        <v>400</v>
      </c>
      <c r="P60" s="14">
        <f>GETPIVOTDATA("Count of Result",$A$2,"Copermittee","DANA POINT","TMDL Segment","Lower SJC","Monitoring Year","2021-2022","Analyte","FC","Data Source",)</f>
        <v>3</v>
      </c>
      <c r="Q60" s="14">
        <f>GETPIVOTDATA("Sum of Exceed",$A$2,"Copermittee","DANA POINT","TMDL Segment","Lower SJC","Monitoring Year","2021-2022","Analyte","FC","Data Source",)</f>
        <v>3</v>
      </c>
      <c r="R60" s="18">
        <f t="shared" ref="R60:R61" si="14">(Q60/P60)</f>
        <v>1</v>
      </c>
      <c r="S60" s="61"/>
      <c r="T60" s="61"/>
      <c r="U60" s="61"/>
    </row>
    <row r="61" spans="1:21" x14ac:dyDescent="0.25">
      <c r="K61" s="61"/>
      <c r="L61" s="61"/>
      <c r="M61" s="14" t="s">
        <v>107</v>
      </c>
      <c r="N61" s="14" t="s">
        <v>225</v>
      </c>
      <c r="O61" s="14">
        <v>400</v>
      </c>
      <c r="P61" s="14">
        <f>GETPIVOTDATA("Count of Result",$A$2,"Copermittee","DANA POINT","TMDL Segment","Lower SJC","Monitoring Year","2022-2023","Analyte","FC","Data Source",)</f>
        <v>4</v>
      </c>
      <c r="Q61" s="14">
        <f>GETPIVOTDATA("Sum of Exceed",$A$2,"Copermittee","DANA POINT","TMDL Segment","Lower SJC","Monitoring Year","2022-2023","Analyte","FC","Data Source",)</f>
        <v>3</v>
      </c>
      <c r="R61" s="18">
        <f t="shared" si="14"/>
        <v>0.75</v>
      </c>
      <c r="S61" s="61"/>
      <c r="T61" s="61"/>
      <c r="U61" s="61"/>
    </row>
    <row r="62" spans="1:21" x14ac:dyDescent="0.25">
      <c r="K62" s="61"/>
      <c r="L62" s="61"/>
      <c r="M62" s="14"/>
      <c r="N62" s="14"/>
      <c r="O62" s="14"/>
      <c r="P62" s="14"/>
      <c r="Q62" s="14"/>
      <c r="R62" s="42"/>
      <c r="S62" s="64"/>
      <c r="T62" s="64"/>
      <c r="U62" s="64"/>
    </row>
    <row r="63" spans="1:21" x14ac:dyDescent="0.25">
      <c r="K63" s="61"/>
      <c r="L63" s="61"/>
      <c r="M63" s="14" t="s">
        <v>116</v>
      </c>
      <c r="N63" s="14" t="s">
        <v>224</v>
      </c>
      <c r="O63" s="14">
        <v>110</v>
      </c>
      <c r="P63" s="14">
        <f>GETPIVOTDATA("Count of Result",$A$2,"Copermittee","DANA POINT","TMDL Segment","Lower SJC","Monitoring Year","2020-2021","Analyte","ENT","Data Source",)</f>
        <v>2</v>
      </c>
      <c r="Q63" s="14">
        <f>GETPIVOTDATA("Sum of Exceed",$A$2,"Copermittee","DANA POINT","TMDL Segment","Lower SJC","Monitoring Year","2020-2021","Analyte","ENT","Data Source",)</f>
        <v>2</v>
      </c>
      <c r="R63" s="18">
        <f>(Q63/P63)</f>
        <v>1</v>
      </c>
      <c r="S63" s="64"/>
      <c r="T63" s="64"/>
      <c r="U63" s="64"/>
    </row>
    <row r="64" spans="1:21" x14ac:dyDescent="0.25">
      <c r="K64" s="61"/>
      <c r="L64" s="61"/>
      <c r="M64" s="14" t="s">
        <v>115</v>
      </c>
      <c r="N64" s="14" t="s">
        <v>224</v>
      </c>
      <c r="O64" s="14">
        <v>110</v>
      </c>
      <c r="P64" s="14">
        <f>GETPIVOTDATA("Count of Result",$A$2,"Copermittee","DANA POINT","TMDL Segment","Lower SJC","Monitoring Year","2021-2022","Analyte","ENT","Data Source",)</f>
        <v>3</v>
      </c>
      <c r="Q64" s="14">
        <f>GETPIVOTDATA("Sum of Exceed",$A$2,"Copermittee","DANA POINT","TMDL Segment","Lower SJC","Monitoring Year","2021-2022","Analyte","ENT","Data Source",)</f>
        <v>3</v>
      </c>
      <c r="R64" s="18">
        <f t="shared" ref="R64:R65" si="15">(Q64/P64)</f>
        <v>1</v>
      </c>
      <c r="S64" s="64"/>
      <c r="T64" s="64"/>
      <c r="U64" s="64"/>
    </row>
    <row r="65" spans="11:21" x14ac:dyDescent="0.25">
      <c r="K65" s="61"/>
      <c r="L65" s="61"/>
      <c r="M65" s="14" t="s">
        <v>107</v>
      </c>
      <c r="N65" s="14" t="s">
        <v>224</v>
      </c>
      <c r="O65" s="14">
        <v>110</v>
      </c>
      <c r="P65" s="14">
        <f>GETPIVOTDATA("Count of Result",$A$2,"Copermittee","DANA POINT","TMDL Segment","Lower SJC","Monitoring Year","2022-2023","Analyte","ENT","Data Source",)</f>
        <v>4</v>
      </c>
      <c r="Q65" s="14">
        <f>GETPIVOTDATA("Sum of Exceed",$A$2,"Copermittee","DANA POINT","TMDL Segment","Lower SJC","Monitoring Year","2022-2023","Analyte","ENT","Data Source",)</f>
        <v>4</v>
      </c>
      <c r="R65" s="18">
        <f t="shared" si="15"/>
        <v>1</v>
      </c>
      <c r="S65" s="64"/>
      <c r="T65" s="64"/>
      <c r="U65" s="64"/>
    </row>
    <row r="66" spans="11:21" x14ac:dyDescent="0.25">
      <c r="K66" s="61"/>
      <c r="L66" s="61"/>
      <c r="M66" s="14"/>
      <c r="N66" s="14"/>
      <c r="O66" s="14"/>
      <c r="P66" s="14"/>
      <c r="Q66" s="14"/>
      <c r="R66" s="42"/>
      <c r="S66" s="64"/>
      <c r="T66" s="64"/>
      <c r="U66" s="64"/>
    </row>
    <row r="67" spans="11:21" x14ac:dyDescent="0.25">
      <c r="K67" s="61"/>
      <c r="L67" s="61"/>
      <c r="M67" s="14" t="s">
        <v>116</v>
      </c>
      <c r="N67" s="14" t="s">
        <v>228</v>
      </c>
      <c r="O67" s="14">
        <v>320</v>
      </c>
      <c r="P67" s="14">
        <f>GETPIVOTDATA("Count of Result",$A$2,"Copermittee","DANA POINT","TMDL Segment","Lower SJC","Monitoring Year","2020-2021","Analyte","EC","Data Source",)</f>
        <v>2</v>
      </c>
      <c r="Q67" s="14">
        <f>GETPIVOTDATA("Sum of Exceed",$A$2,"Copermittee","DANA POINT","TMDL Segment","Lower SJC","Monitoring Year","2020-2021","Analyte","EC","Data Source",)</f>
        <v>2</v>
      </c>
      <c r="R67" s="18">
        <f>(Q67/P67)</f>
        <v>1</v>
      </c>
      <c r="S67" s="64"/>
      <c r="T67" s="64"/>
      <c r="U67" s="64"/>
    </row>
    <row r="68" spans="11:21" x14ac:dyDescent="0.25">
      <c r="K68" s="61"/>
      <c r="L68" s="61"/>
      <c r="M68" s="14" t="s">
        <v>115</v>
      </c>
      <c r="N68" s="14" t="s">
        <v>228</v>
      </c>
      <c r="O68" s="14">
        <v>320</v>
      </c>
      <c r="P68" s="14">
        <f>GETPIVOTDATA("Count of Result",$A$2,"Copermittee","DANA POINT","TMDL Segment","Lower SJC","Monitoring Year","2021-2022","Analyte","EC","Data Source",)</f>
        <v>3</v>
      </c>
      <c r="Q68" s="14">
        <f>GETPIVOTDATA("Sum of Exceed",$A$2,"Copermittee","DANA POINT","TMDL Segment","Lower SJC","Monitoring Year","2021-2022","Analyte","EC","Data Source",)</f>
        <v>3</v>
      </c>
      <c r="R68" s="18">
        <f t="shared" ref="R68:R69" si="16">(Q68/P68)</f>
        <v>1</v>
      </c>
      <c r="S68" s="64"/>
      <c r="T68" s="64"/>
      <c r="U68" s="64"/>
    </row>
    <row r="69" spans="11:21" x14ac:dyDescent="0.25">
      <c r="K69" s="62"/>
      <c r="L69" s="62"/>
      <c r="M69" s="14" t="s">
        <v>107</v>
      </c>
      <c r="N69" s="14" t="s">
        <v>228</v>
      </c>
      <c r="O69" s="14">
        <v>320</v>
      </c>
      <c r="P69" s="14">
        <f>GETPIVOTDATA("Count of Result",$A$2,"Copermittee","DANA POINT","TMDL Segment","Lower SJC","Monitoring Year","2022-2023","Analyte","EC","Data Source",)</f>
        <v>4</v>
      </c>
      <c r="Q69" s="14">
        <f>GETPIVOTDATA("Sum of Exceed",$A$2,"Copermittee","DANA POINT","TMDL Segment","Lower SJC","Monitoring Year","2022-2023","Analyte","EC","Data Source",)</f>
        <v>2</v>
      </c>
      <c r="R69" s="18">
        <f t="shared" si="16"/>
        <v>0.5</v>
      </c>
      <c r="S69" s="65"/>
      <c r="T69" s="65"/>
      <c r="U69" s="65"/>
    </row>
  </sheetData>
  <mergeCells count="35">
    <mergeCell ref="T48:T58"/>
    <mergeCell ref="U48:U58"/>
    <mergeCell ref="K4:K58"/>
    <mergeCell ref="S4:S14"/>
    <mergeCell ref="T4:T14"/>
    <mergeCell ref="U4:U14"/>
    <mergeCell ref="S59:S69"/>
    <mergeCell ref="T59:T69"/>
    <mergeCell ref="U59:U69"/>
    <mergeCell ref="S15:S25"/>
    <mergeCell ref="T15:T25"/>
    <mergeCell ref="S26:S36"/>
    <mergeCell ref="T26:T36"/>
    <mergeCell ref="U15:U25"/>
    <mergeCell ref="U26:U36"/>
    <mergeCell ref="S37:S47"/>
    <mergeCell ref="T37:T47"/>
    <mergeCell ref="U37:U47"/>
    <mergeCell ref="S48:S58"/>
    <mergeCell ref="L4:L14"/>
    <mergeCell ref="K59:K69"/>
    <mergeCell ref="L59:L69"/>
    <mergeCell ref="K2:K3"/>
    <mergeCell ref="L2:L3"/>
    <mergeCell ref="L15:L25"/>
    <mergeCell ref="L26:L36"/>
    <mergeCell ref="L37:L47"/>
    <mergeCell ref="L48:L58"/>
    <mergeCell ref="R2:R3"/>
    <mergeCell ref="S2:U2"/>
    <mergeCell ref="M2:M3"/>
    <mergeCell ref="N2:N3"/>
    <mergeCell ref="O2:O3"/>
    <mergeCell ref="P2:P3"/>
    <mergeCell ref="Q2:Q3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9e07ab88-34c3-4f41-ac09-82403f92757e" xsi:nil="true"/>
    <DateandTiiime xmlns="9e07ab88-34c3-4f41-ac09-82403f92757e" xsi:nil="true"/>
    <lcf76f155ced4ddcb4097134ff3c332f xmlns="9e07ab88-34c3-4f41-ac09-82403f92757e">
      <Terms xmlns="http://schemas.microsoft.com/office/infopath/2007/PartnerControls"/>
    </lcf76f155ced4ddcb4097134ff3c332f>
    <TaxCatchAll xmlns="1de35721-a438-478d-a8c9-0d88dc1dca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9F005411017479F6755D5EFD90A40" ma:contentTypeVersion="19" ma:contentTypeDescription="Create a new document." ma:contentTypeScope="" ma:versionID="5a097e23b71d1be0646d6b91732e6aca">
  <xsd:schema xmlns:xsd="http://www.w3.org/2001/XMLSchema" xmlns:xs="http://www.w3.org/2001/XMLSchema" xmlns:p="http://schemas.microsoft.com/office/2006/metadata/properties" xmlns:ns2="9e07ab88-34c3-4f41-ac09-82403f92757e" xmlns:ns3="1de35721-a438-478d-a8c9-0d88dc1dcac9" targetNamespace="http://schemas.microsoft.com/office/2006/metadata/properties" ma:root="true" ma:fieldsID="cf113c36aa8e4ab18f0961720fe97f8a" ns2:_="" ns3:_="">
    <xsd:import namespace="9e07ab88-34c3-4f41-ac09-82403f92757e"/>
    <xsd:import namespace="1de35721-a438-478d-a8c9-0d88dc1dc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DateandTiiime" minOccurs="0"/>
                <xsd:element ref="ns2:ti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7ab88-34c3-4f41-ac09-82403f927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9f2e8d-ad87-4436-9f18-45c3156899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DateandTiiime" ma:index="23" nillable="true" ma:displayName="Date and Tiiime" ma:format="DateOnly" ma:internalName="DateandTiiime">
      <xsd:simpleType>
        <xsd:restriction base="dms:DateTime"/>
      </xsd:simpleType>
    </xsd:element>
    <xsd:element name="time" ma:index="24" nillable="true" ma:displayName="time" ma:format="DateTime" ma:internalName="time">
      <xsd:simpleType>
        <xsd:restriction base="dms:DateTim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35721-a438-478d-a8c9-0d88dc1dc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6d04a0a-d908-4dab-9745-0bf443fafc4e}" ma:internalName="TaxCatchAll" ma:showField="CatchAllData" ma:web="1de35721-a438-478d-a8c9-0d88dc1dc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8C1A1F-ECD4-46D5-90EE-23EC93858984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9e07ab88-34c3-4f41-ac09-82403f92757e"/>
    <ds:schemaRef ds:uri="http://schemas.microsoft.com/office/2006/documentManagement/types"/>
    <ds:schemaRef ds:uri="1de35721-a438-478d-a8c9-0d88dc1dcac9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9CF2D4-70C6-43AD-B0BC-0B8ED1B6CB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6B3F0A-FCFB-414A-9DE7-0CCEEEEF7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7ab88-34c3-4f41-ac09-82403f92757e"/>
    <ds:schemaRef ds:uri="1de35721-a438-478d-a8c9-0d88dc1dc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 Classification</vt:lpstr>
      <vt:lpstr>Flow Observations</vt:lpstr>
      <vt:lpstr>Flow Observations Pivot</vt:lpstr>
      <vt:lpstr>FIB Results</vt:lpstr>
      <vt:lpstr>FIB Pivot</vt:lpstr>
    </vt:vector>
  </TitlesOfParts>
  <Company>Weston Solutions,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Mattson, Michelle</dc:creator>
  <cp:lastModifiedBy>Given, Suzan</cp:lastModifiedBy>
  <dcterms:created xsi:type="dcterms:W3CDTF">2023-11-21T16:46:06Z</dcterms:created>
  <dcterms:modified xsi:type="dcterms:W3CDTF">2023-12-04T18:28:16Z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0x01010084D9F005411017479F6755D5EFD90A40</vt:lpwstr>
  </property>
  <property fmtid="{D5CDD505-2E9C-101B-9397-08002B2CF9AE}" pid="3" name="MediaServiceImageTags">
    <vt:lpwstr/>
  </property>
</Properties>
</file>