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James\Documents\"/>
    </mc:Choice>
  </mc:AlternateContent>
  <xr:revisionPtr revIDLastSave="0" documentId="8_{FA3D1F92-5EFA-46BA-AB32-26330CA56E3E}" xr6:coauthVersionLast="47" xr6:coauthVersionMax="47" xr10:uidLastSave="{00000000-0000-0000-0000-000000000000}"/>
  <bookViews>
    <workbookView xWindow="-110" yWindow="-110" windowWidth="19420" windowHeight="10420" firstSheet="1" activeTab="2" xr2:uid="{00000000-000D-0000-FFFF-FFFF00000000}"/>
  </bookViews>
  <sheets>
    <sheet name="Data" sheetId="1" r:id="rId1"/>
    <sheet name="Brand KPI" sheetId="4" r:id="rId2"/>
    <sheet name="Non-Brand KPI" sheetId="5" r:id="rId3"/>
    <sheet name="Acquisition KPI" sheetId="6" r:id="rId4"/>
    <sheet name="Reactivation KPI" sheetId="7" r:id="rId5"/>
    <sheet name="Retargeting KPI" sheetId="8" r:id="rId6"/>
    <sheet name="Retention KPI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B6" i="9" s="1"/>
  <c r="C3" i="9"/>
  <c r="C6" i="9" s="1"/>
  <c r="D3" i="9"/>
  <c r="D6" i="9" s="1"/>
  <c r="E3" i="9"/>
  <c r="E6" i="9" s="1"/>
  <c r="B4" i="9"/>
  <c r="C4" i="9"/>
  <c r="D4" i="9"/>
  <c r="E4" i="9"/>
  <c r="B5" i="9"/>
  <c r="C5" i="9"/>
  <c r="D5" i="9"/>
  <c r="E5" i="9"/>
  <c r="B3" i="8"/>
  <c r="C3" i="8"/>
  <c r="D3" i="8"/>
  <c r="E3" i="8"/>
  <c r="E6" i="8" s="1"/>
  <c r="B4" i="8"/>
  <c r="B6" i="8" s="1"/>
  <c r="C4" i="8"/>
  <c r="C6" i="8" s="1"/>
  <c r="D4" i="8"/>
  <c r="D6" i="8" s="1"/>
  <c r="E4" i="8"/>
  <c r="B5" i="8"/>
  <c r="C5" i="8"/>
  <c r="D5" i="8"/>
  <c r="E5" i="8"/>
  <c r="B3" i="7"/>
  <c r="C3" i="7"/>
  <c r="D3" i="7"/>
  <c r="E3" i="7"/>
  <c r="E6" i="7" s="1"/>
  <c r="B4" i="7"/>
  <c r="B6" i="7" s="1"/>
  <c r="C4" i="7"/>
  <c r="C6" i="7" s="1"/>
  <c r="D4" i="7"/>
  <c r="E4" i="7"/>
  <c r="B5" i="7"/>
  <c r="C5" i="7"/>
  <c r="D5" i="7"/>
  <c r="E5" i="7"/>
  <c r="D6" i="7"/>
  <c r="B3" i="6"/>
  <c r="C3" i="6"/>
  <c r="D3" i="6"/>
  <c r="E3" i="6"/>
  <c r="B4" i="6"/>
  <c r="B6" i="6" s="1"/>
  <c r="C4" i="6"/>
  <c r="C6" i="6" s="1"/>
  <c r="D4" i="6"/>
  <c r="D6" i="6" s="1"/>
  <c r="E4" i="6"/>
  <c r="B5" i="6"/>
  <c r="C5" i="6"/>
  <c r="D5" i="6"/>
  <c r="E5" i="6"/>
  <c r="E6" i="6" s="1"/>
  <c r="B3" i="5"/>
  <c r="C3" i="5"/>
  <c r="C6" i="5" s="1"/>
  <c r="D3" i="5"/>
  <c r="D6" i="5" s="1"/>
  <c r="E3" i="5"/>
  <c r="B4" i="5"/>
  <c r="C4" i="5"/>
  <c r="D4" i="5"/>
  <c r="E4" i="5"/>
  <c r="E6" i="5" s="1"/>
  <c r="B5" i="5"/>
  <c r="B6" i="5" s="1"/>
  <c r="C5" i="5"/>
  <c r="D5" i="5"/>
  <c r="E5" i="5"/>
  <c r="E3" i="4"/>
  <c r="E6" i="4" s="1"/>
  <c r="E4" i="4"/>
  <c r="E5" i="4"/>
  <c r="D3" i="4"/>
  <c r="D6" i="4"/>
  <c r="D4" i="4"/>
  <c r="D5" i="4"/>
  <c r="C3" i="4"/>
  <c r="C6" i="4"/>
  <c r="C4" i="4"/>
  <c r="C5" i="4"/>
  <c r="B3" i="4"/>
  <c r="B6" i="4"/>
  <c r="B4" i="4"/>
  <c r="B5" i="4"/>
  <c r="K49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" authorId="0" shapeId="0" xr:uid="{00000000-0006-0000-0000-000001000000}">
      <text>
        <r>
          <rPr>
            <sz val="10"/>
            <color rgb="FF000000"/>
            <rFont val="Arial"/>
            <scheme val="minor"/>
          </rPr>
          <t xml:space="preserve">Media Channels are categorized by the type of platform where ads are placed. 
Paid Search = Any ads you see on search engines (Google, Bing, Yahoo, etc)
Paid Social = Any ads you see on social media sites (Facebook, Instagram, Pinterest, etc) </t>
        </r>
      </text>
    </comment>
    <comment ref="D1" authorId="0" shapeId="0" xr:uid="{00000000-0006-0000-0000-000002000000}">
      <text>
        <r>
          <rPr>
            <sz val="10"/>
            <color rgb="FF000000"/>
            <rFont val="Arial"/>
            <scheme val="minor"/>
          </rPr>
          <t xml:space="preserve">A subchannel is a specific category within the broader channel. 
For Paid Search, we're leveraging brand vs non-brand. This refers to whether the customer searched using specific brand or generic terms (ex: Nike shoes vs. running shoes)
For Paid Social, we're leveraging the purpose of the ad - Acquisition, Retention, Retargeting, and Reactivation. 
Acquisition = An ad working to gain new customers.
Retention = Ad working to retain active current customers. 
Retargeting = Ad working to recapture potential leads that may have left your site without making a purchase.
Reactivating = Ad working to help old customers (who haven't purchased in a while) purchase again. </t>
        </r>
      </text>
    </comment>
    <comment ref="E1" authorId="0" shapeId="0" xr:uid="{00000000-0006-0000-0000-000003000000}">
      <text>
        <r>
          <rPr>
            <sz val="10"/>
            <color rgb="FF000000"/>
            <rFont val="Arial"/>
            <scheme val="minor"/>
          </rPr>
          <t xml:space="preserve">Media Spend refers to the amount of money spent on advertising. 
In this case, each cell refers to the cost within that media channel within the given week.
</t>
        </r>
      </text>
    </comment>
    <comment ref="F1" authorId="0" shapeId="0" xr:uid="{00000000-0006-0000-0000-000004000000}">
      <text>
        <r>
          <rPr>
            <sz val="10"/>
            <color rgb="FF000000"/>
            <rFont val="Arial"/>
            <scheme val="minor"/>
          </rPr>
          <t xml:space="preserve">An impression is counted each time a user sees your ad. </t>
        </r>
      </text>
    </comment>
    <comment ref="G1" authorId="0" shapeId="0" xr:uid="{00000000-0006-0000-0000-000005000000}">
      <text>
        <r>
          <rPr>
            <sz val="10"/>
            <color rgb="FF000000"/>
            <rFont val="Arial"/>
            <scheme val="minor"/>
          </rPr>
          <t>Orders are counted each time a customer makes a purchase</t>
        </r>
      </text>
    </comment>
    <comment ref="H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Clicks are counted each time a user clicks on your ad
</t>
        </r>
      </text>
    </comment>
    <comment ref="I1" authorId="0" shapeId="0" xr:uid="{00000000-0006-0000-0000-000007000000}">
      <text>
        <r>
          <rPr>
            <sz val="10"/>
            <color rgb="FF000000"/>
            <rFont val="Arial"/>
            <scheme val="minor"/>
          </rPr>
          <t>Revenue is the amount of money generated from purchases.</t>
        </r>
      </text>
    </comment>
    <comment ref="J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Those who are purchasing from the company for the very first time. </t>
        </r>
      </text>
    </comment>
    <comment ref="K1" authorId="0" shapeId="0" xr:uid="{00000000-0006-0000-0000-000009000000}">
      <text>
        <r>
          <rPr>
            <sz val="10"/>
            <color rgb="FF000000"/>
            <rFont val="Arial"/>
            <scheme val="minor"/>
          </rPr>
          <t>Those who are currently purchasing from the company</t>
        </r>
      </text>
    </comment>
  </commentList>
</comments>
</file>

<file path=xl/sharedStrings.xml><?xml version="1.0" encoding="utf-8"?>
<sst xmlns="http://schemas.openxmlformats.org/spreadsheetml/2006/main" count="1030" uniqueCount="26">
  <si>
    <t>Week</t>
  </si>
  <si>
    <t>Year</t>
  </si>
  <si>
    <t>Media Channel</t>
  </si>
  <si>
    <t>Subchannel</t>
  </si>
  <si>
    <t>Media Spend</t>
  </si>
  <si>
    <t>Impressions</t>
  </si>
  <si>
    <t>Orders</t>
  </si>
  <si>
    <t>Clicks</t>
  </si>
  <si>
    <t>Revenue</t>
  </si>
  <si>
    <t>New Customers</t>
  </si>
  <si>
    <t>Existing Customers</t>
  </si>
  <si>
    <t>Paid Search</t>
  </si>
  <si>
    <t>Non-Brand</t>
  </si>
  <si>
    <t>Paid Social</t>
  </si>
  <si>
    <t>Retention</t>
  </si>
  <si>
    <t>Brand</t>
  </si>
  <si>
    <t>Acquisition</t>
  </si>
  <si>
    <t>Retargeting</t>
  </si>
  <si>
    <t>Reactivation</t>
  </si>
  <si>
    <t>Total</t>
  </si>
  <si>
    <t>Average</t>
  </si>
  <si>
    <t>YEAR</t>
  </si>
  <si>
    <t>Cost Per Order (CPO)</t>
  </si>
  <si>
    <t>Cost Per Click (CPC)</t>
  </si>
  <si>
    <t>Average Order Value (AOV)</t>
  </si>
  <si>
    <t>Return On Ad Spend (ROAS)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</si>
</sst>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theme="0"/>
      <name val="Arial"/>
      <family val="2"/>
      <scheme val="minor"/>
    </font>
    <font>
      <sz val="14"/>
      <color theme="0"/>
      <name val="Arial"/>
      <family val="2"/>
      <scheme val="minor"/>
    </font>
    <font>
      <sz val="11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4616"/>
        <bgColor rgb="FFFA4616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4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1" applyFont="1" applyAlignment="1">
      <alignment horizontal="center"/>
    </xf>
  </cellXfs>
  <cellStyles count="2">
    <cellStyle name="Accent6" xfId="1" builtinId="49"/>
    <cellStyle name="Normal" xfId="0" builtinId="0"/>
  </cellStyles>
  <dxfs count="96"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0000"/>
        <name val="Arial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3" formatCode="#,##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64" formatCode="&quot;$&quot;#,##0.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scheme val="none"/>
      </font>
      <fill>
        <patternFill patternType="solid">
          <fgColor rgb="FFFA4616"/>
          <bgColor rgb="FFFA4616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'Brand KPI'!$B$2</c:f>
              <c:strCache>
                <c:ptCount val="1"/>
                <c:pt idx="0">
                  <c:v>Cost Per Click (CPC)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'Brand KPI'!$A$3:$A$6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'Brand KPI'!$B$3:$B$6</c:f>
              <c:numCache>
                <c:formatCode>"$"#,##0.00</c:formatCode>
                <c:ptCount val="3"/>
                <c:pt idx="0">
                  <c:v>0.12122855405866925</c:v>
                </c:pt>
                <c:pt idx="1">
                  <c:v>4.7794620185857069E-2</c:v>
                </c:pt>
                <c:pt idx="2">
                  <c:v>4.5675032364513257E-2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A6-48A0-98C4-FBCA6184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1325439"/>
        <c:axId val="1011314879"/>
      </c:lineChart>
      <c:catAx>
        <c:axId val="1011325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14879"/>
        <c:crosses val="autoZero"/>
        <c:auto val="1"/>
        <c:lblAlgn val="ctr"/>
        <c:lblOffset val="100"/>
        <c:noMultiLvlLbl val="0"/>
      </c:catAx>
      <c:valAx>
        <c:axId val="101131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325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'Brand KPI'!$C$2</c:f>
              <c:strCache>
                <c:ptCount val="1"/>
                <c:pt idx="0">
                  <c:v>Cost Per Order (CPO)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'Brand KPI'!$A$3:$A$5</c:f>
              <c:numCache>
                <c:formatCode>General</c:formatCode>
                <c:ptCount val="3"/>
                <c:pt idx="0">
                  <c:v>2020</c:v>
                </c:pt>
                <c:pt idx="1">
                  <c:v>2021</c:v>
                </c:pt>
                <c:pt idx="2">
                  <c:v>2022</c:v>
                </c:pt>
              </c:numCache>
            </c:numRef>
          </c:cat>
          <c:val>
            <c:numRef>
              <c:f>'Brand KPI'!$C$3:$C$5</c:f>
              <c:numCache>
                <c:formatCode>"$"#,##0.00</c:formatCode>
                <c:ptCount val="3"/>
                <c:pt idx="0">
                  <c:v>1.2907903055714374</c:v>
                </c:pt>
                <c:pt idx="1">
                  <c:v>0.49455425417927851</c:v>
                </c:pt>
                <c:pt idx="2">
                  <c:v>0.53284784700117815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E0-42A4-A303-7606AD174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7579679"/>
        <c:axId val="1097572959"/>
      </c:lineChart>
      <c:catAx>
        <c:axId val="10975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72959"/>
        <c:crosses val="autoZero"/>
        <c:auto val="1"/>
        <c:lblAlgn val="ctr"/>
        <c:lblOffset val="100"/>
        <c:noMultiLvlLbl val="0"/>
      </c:catAx>
      <c:valAx>
        <c:axId val="1097572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579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606425</xdr:colOff>
      <xdr:row>0</xdr:row>
      <xdr:rowOff>41275</xdr:rowOff>
    </xdr:from>
    <xdr:to>
      <xdr:col>13</xdr:col>
      <xdr:colOff>301625</xdr:colOff>
      <xdr:row>17</xdr:row>
      <xdr:rowOff>3175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A807CC3-43D2-4009-534F-DE5CC0344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3175</xdr:colOff>
      <xdr:row>18</xdr:row>
      <xdr:rowOff>9525</xdr:rowOff>
    </xdr:from>
    <xdr:to>
      <xdr:col>13</xdr:col>
      <xdr:colOff>307975</xdr:colOff>
      <xdr:row>35</xdr:row>
      <xdr:rowOff>53975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B42C869-52A1-50C4-702C-E838E5CB7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3CBD2F-5521-4271-8C68-0626DAB32421}" name="Table1" displayName="Table1" ref="A1:K490" totalsRowCount="1" headerRowDxfId="95" dataDxfId="94">
  <autoFilter ref="A1:K489" xr:uid="{AA3CBD2F-5521-4271-8C68-0626DAB32421}"/>
  <tableColumns count="11">
    <tableColumn id="1" xr3:uid="{95631C5A-408B-473B-9FFC-72A45972F905}" name="Week" totalsRowLabel="Total" dataDxfId="93" totalsRowDxfId="92"/>
    <tableColumn id="2" xr3:uid="{82AE7C92-44AC-46A3-AD3C-0F1CC05162AA}" name="Year" dataDxfId="91" totalsRowDxfId="90"/>
    <tableColumn id="3" xr3:uid="{8B76E232-5A1D-4145-99D0-BD01A5A19786}" name="Media Channel" dataDxfId="89" totalsRowDxfId="88"/>
    <tableColumn id="4" xr3:uid="{8EC73E05-336D-4D0D-966A-8B8529734B17}" name="Subchannel" dataDxfId="87" totalsRowDxfId="86"/>
    <tableColumn id="5" xr3:uid="{B86B3B5F-321F-4755-AE7C-4BE6BC022F09}" name="Media Spend" dataDxfId="85" totalsRowDxfId="84"/>
    <tableColumn id="6" xr3:uid="{B0A3C8F4-F21B-411E-AEEB-0A4F35F90DF7}" name="Impressions" dataDxfId="83" totalsRowDxfId="82"/>
    <tableColumn id="7" xr3:uid="{195B6DC0-36F0-455E-AFBC-99B83689443C}" name="Orders" dataDxfId="81" totalsRowDxfId="80"/>
    <tableColumn id="8" xr3:uid="{78E58675-F5CA-434A-A030-D7ABB81FCD85}" name="Clicks" dataDxfId="79" totalsRowDxfId="78"/>
    <tableColumn id="9" xr3:uid="{68946435-E4C3-4B17-B3A4-29D5AEE36965}" name="Revenue" dataDxfId="77" totalsRowDxfId="76"/>
    <tableColumn id="10" xr3:uid="{A2A529CB-8569-439E-98D0-45E6F2A71ED9}" name="New Customers" dataDxfId="75" totalsRowDxfId="74"/>
    <tableColumn id="11" xr3:uid="{6E65EBFE-36F0-453E-80F8-C0EFC373035D}" name="Existing Customers" totalsRowFunction="sum" dataDxfId="73" totalsRow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BB65786-5C57-49A2-9197-B0C6195F9301}" name="Table2" displayName="Table2" ref="A2:E6" totalsRowCount="1" headerRowDxfId="71" dataDxfId="70">
  <autoFilter ref="A2:E5" xr:uid="{4BB65786-5C57-49A2-9197-B0C6195F9301}"/>
  <tableColumns count="5">
    <tableColumn id="1" xr3:uid="{5D3089AC-B86D-4E24-9C67-C262501C4CCB}" name="YEAR" totalsRowLabel="Average" dataDxfId="69" totalsRowDxfId="68"/>
    <tableColumn id="2" xr3:uid="{293F4B63-F3E7-4A5E-B6D4-83511BEF6EB9}" name="Cost Per Click (CPC)" totalsRowFunction="average" dataDxfId="67" totalsRowDxfId="66">
      <calculatedColumnFormula>IF(SUMIFS(Table1[Clicks], Table1[Subchannel], $A$1, Table1[Year], Table2[[#This Row],[YEAR]]) = 0, "",
   SUMIFS(Table1[Media Spend], Table1[Subchannel], $A$1, Table1[Year], Table2[[#This Row],[YEAR]]) /
   SUMIFS(Table1[Clicks], Table1[Subchannel], $A$1, Table1[Year], Table2[[#This Row],[YEAR]]))</calculatedColumnFormula>
    </tableColumn>
    <tableColumn id="3" xr3:uid="{13E0EEBE-F14E-4FAD-8CC8-ED334A7FB354}" name="Cost Per Order (CPO)" totalsRowFunction="average" dataDxfId="65" totalsRowDxfId="64">
      <calculatedColumnFormula>IF(SUMIFS(Table1[Media Spend], Table1[Subchannel], $A$1, Table1[Year], Table2[[#This Row],[YEAR]]) = 0, "",
   SUMIFS(Table1[Media Spend], Table1[Subchannel], $A$1, Table1[Year], Table2[[#This Row],[YEAR]]) /
   SUMIFS(Table1[Orders], Table1[Subchannel], $A$1, Table1[Year], Table2[[#This Row],[YEAR]]))</calculatedColumnFormula>
    </tableColumn>
    <tableColumn id="4" xr3:uid="{A307058E-E25F-4FCA-9AC3-82DFF2363F34}" name="Average Order Value (AOV)" totalsRowFunction="average" dataDxfId="63" totalsRowDxfId="62">
      <calculatedColumnFormula>IF(SUMIFS(Table1[Revenue], Table1[Subchannel], $A$1, Table1[Year], Table2[[#This Row],[YEAR]]) = 0, "",
   SUMIFS(Table1[Revenue], Table1[Subchannel], $A$1, Table1[Year], Table2[[#This Row],[YEAR]]) /
   SUMIFS(Table1[Orders], Table1[Subchannel], $A$1, Table1[Year], Table2[[#This Row],[YEAR]]))</calculatedColumnFormula>
    </tableColumn>
    <tableColumn id="5" xr3:uid="{49255873-98AB-4A9A-A4BD-CB2635183B05}" name="Return On Ad Spend (ROAS)" totalsRowFunction="average" dataDxfId="61" totalsRowDxfId="60">
      <calculatedColumnFormula>IF(SUMIFS(Table1[Revenue], Table1[Subchannel], $A$1, Table1[Year], Table2[[#This Row],[YEAR]]) = 0, "",
   SUMIFS(Table1[Revenue], Table1[Subchannel], $A$1, Table1[Year], Table2[[#This Row],[YEAR]]) /
   SUMIFS(Table1[Media Spend], Table1[Subchannel], $A$1, Table1[Year], Table2[[#This Row],[YEAR]]))</calculatedColumnFormula>
    </tableColumn>
  </tableColumns>
  <tableStyleInfo name="TableStyleMedium2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7AD2B04-A3AB-4879-8E84-1AECBC937E9F}" name="Table29" displayName="Table29" ref="A2:E6" totalsRowCount="1" headerRowDxfId="59" dataDxfId="58">
  <autoFilter ref="A2:E5" xr:uid="{57AD2B04-A3AB-4879-8E84-1AECBC937E9F}"/>
  <tableColumns count="5">
    <tableColumn id="1" xr3:uid="{FDCAF97C-08EA-4FBA-BF8C-268240F8395F}" name="YEAR" totalsRowLabel="Average" dataDxfId="57" totalsRowDxfId="56"/>
    <tableColumn id="2" xr3:uid="{F44F072A-526B-4ED6-99CB-542EA6518A3F}" name="Cost Per Click (CPC)" totalsRowFunction="average" dataDxfId="55" totalsRowDxfId="54">
      <calculatedColumnFormula>IF(SUMIFS(Table1[Clicks], Table1[Subchannel], $A$1, Table1[Year], Table29[[#This Row],[YEAR]]) = 0, "",
   SUMIFS(Table1[Media Spend], Table1[Subchannel], $A$1, Table1[Year], Table29[[#This Row],[YEAR]]) /
   SUMIFS(Table1[Clicks], Table1[Subchannel], $A$1, Table1[Year], Table29[[#This Row],[YEAR]]))</calculatedColumnFormula>
    </tableColumn>
    <tableColumn id="3" xr3:uid="{22BB022D-361A-4E1D-9F74-4DD86CCD3EFC}" name="Cost Per Order (CPO)" totalsRowFunction="average" dataDxfId="53" totalsRowDxfId="52">
      <calculatedColumnFormula>IF(SUMIFS(Table1[Media Spend], Table1[Subchannel], $A$1, Table1[Year], Table29[[#This Row],[YEAR]]) = 0, "",
   SUMIFS(Table1[Media Spend], Table1[Subchannel], $A$1, Table1[Year], Table29[[#This Row],[YEAR]]) /
   SUMIFS(Table1[Orders], Table1[Subchannel], $A$1, Table1[Year], Table29[[#This Row],[YEAR]]))</calculatedColumnFormula>
    </tableColumn>
    <tableColumn id="4" xr3:uid="{6155644B-1923-48B4-8AEA-74E058E51C2B}" name="Average Order Value (AOV)" totalsRowFunction="average" dataDxfId="51" totalsRowDxfId="50">
      <calculatedColumnFormula>IF(SUMIFS(Table1[Revenue], Table1[Subchannel], $A$1, Table1[Year], Table29[[#This Row],[YEAR]]) = 0, "",
   SUMIFS(Table1[Revenue], Table1[Subchannel], $A$1, Table1[Year], Table29[[#This Row],[YEAR]]) /
   SUMIFS(Table1[Orders], Table1[Subchannel], $A$1, Table1[Year], Table29[[#This Row],[YEAR]]))</calculatedColumnFormula>
    </tableColumn>
    <tableColumn id="5" xr3:uid="{120DC6DB-74FF-428D-AC01-513A8ABA4823}" name="Return On Ad Spend (ROAS)" totalsRowFunction="average" dataDxfId="49" totalsRowDxfId="48">
      <calculatedColumnFormula>IF(SUMIFS(Table1[Revenue], Table1[Subchannel], $A$1, Table1[Year], Table29[[#This Row],[YEAR]]) = 0, "",
   SUMIFS(Table1[Revenue], Table1[Subchannel], $A$1, Table1[Year], Table29[[#This Row],[YEAR]]) /
   SUMIFS(Table1[Media Spend], Table1[Subchannel], $A$1, Table1[Year], Table29[[#This Row],[YEAR]]))</calculatedColumnFormula>
    </tableColumn>
  </tableColumns>
  <tableStyleInfo name="TableStyleMedium2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B37DAD-C586-4D03-B288-90C1C78EFFE9}" name="Table2910" displayName="Table2910" ref="A2:E6" totalsRowCount="1" headerRowDxfId="47" dataDxfId="46">
  <autoFilter ref="A2:E5" xr:uid="{25B37DAD-C586-4D03-B288-90C1C78EFFE9}"/>
  <tableColumns count="5">
    <tableColumn id="1" xr3:uid="{A0D8C35D-9872-4D49-AF2A-EB3BB79CF0A9}" name="YEAR" totalsRowLabel="Average" dataDxfId="45" totalsRowDxfId="44"/>
    <tableColumn id="2" xr3:uid="{CE3210A9-9F97-496C-9522-52B881EF0377}" name="Cost Per Click (CPC)" totalsRowFunction="average" dataDxfId="43" totalsRowDxfId="42">
      <calculatedColumnFormula>IF(SUMIFS(Table1[Clicks], Table1[Subchannel], $A$1, Table1[Year], Table2910[[#This Row],[YEAR]]) = 0, "",
   SUMIFS(Table1[Media Spend], Table1[Subchannel], $A$1, Table1[Year], Table2910[[#This Row],[YEAR]]) /
   SUMIFS(Table1[Clicks], Table1[Subchannel], $A$1, Table1[Year], Table2910[[#This Row],[YEAR]]))</calculatedColumnFormula>
    </tableColumn>
    <tableColumn id="3" xr3:uid="{C54AFDEB-1704-4E19-B318-C1DECF329263}" name="Cost Per Order (CPO)" totalsRowFunction="average" dataDxfId="41" totalsRowDxfId="40">
      <calculatedColumnFormula>IF(SUMIFS(Table1[Media Spend], Table1[Subchannel], $A$1, Table1[Year], Table2910[[#This Row],[YEAR]]) = 0, "",
   SUMIFS(Table1[Media Spend], Table1[Subchannel], $A$1, Table1[Year], Table2910[[#This Row],[YEAR]]) /
   SUMIFS(Table1[Orders], Table1[Subchannel], $A$1, Table1[Year], Table2910[[#This Row],[YEAR]]))</calculatedColumnFormula>
    </tableColumn>
    <tableColumn id="4" xr3:uid="{EC1566DC-7FE1-44E4-8D4B-A40DFAB527E8}" name="Average Order Value (AOV)" totalsRowFunction="average" dataDxfId="39" totalsRowDxfId="38">
      <calculatedColumnFormula>IF(SUMIFS(Table1[Revenue], Table1[Subchannel], $A$1, Table1[Year], Table2910[[#This Row],[YEAR]]) = 0, "",
   SUMIFS(Table1[Revenue], Table1[Subchannel], $A$1, Table1[Year], Table2910[[#This Row],[YEAR]]) /
   SUMIFS(Table1[Orders], Table1[Subchannel], $A$1, Table1[Year], Table2910[[#This Row],[YEAR]]))</calculatedColumnFormula>
    </tableColumn>
    <tableColumn id="5" xr3:uid="{8FF7ADD1-3AC8-4A77-8106-3E0CB3E1438B}" name="Return On Ad Spend (ROAS)" totalsRowFunction="average" dataDxfId="37" totalsRowDxfId="36">
      <calculatedColumnFormula>IF(SUMIFS(Table1[Revenue], Table1[Subchannel], $A$1, Table1[Year], Table2910[[#This Row],[YEAR]]) = 0, "",
   SUMIFS(Table1[Revenue], Table1[Subchannel], $A$1, Table1[Year], Table2910[[#This Row],[YEAR]]) /
   SUMIFS(Table1[Media Spend], Table1[Subchannel], $A$1, Table1[Year], Table2910[[#This Row],[YEAR]]))</calculatedColumnFormula>
    </tableColumn>
  </tableColumns>
  <tableStyleInfo name="TableStyleMedium2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C9595AC-3F78-4703-80F6-920318B2FFF6}" name="Table291011" displayName="Table291011" ref="A2:E6" totalsRowCount="1" headerRowDxfId="35" dataDxfId="34">
  <autoFilter ref="A2:E5" xr:uid="{4C9595AC-3F78-4703-80F6-920318B2FFF6}"/>
  <tableColumns count="5">
    <tableColumn id="1" xr3:uid="{1D8ED12E-1526-4F7D-921D-20E7D46AF870}" name="YEAR" totalsRowLabel="Average" dataDxfId="33" totalsRowDxfId="32"/>
    <tableColumn id="2" xr3:uid="{DF30D079-257E-4D13-A29B-FDBE981E0B38}" name="Cost Per Click (CPC)" totalsRowFunction="average" dataDxfId="31" totalsRowDxfId="30">
      <calculatedColumnFormula>IF(SUMIFS(Table1[Clicks], Table1[Subchannel], $A$1, Table1[Year], Table291011[[#This Row],[YEAR]]) = 0, "",
   SUMIFS(Table1[Media Spend], Table1[Subchannel], $A$1, Table1[Year], Table291011[[#This Row],[YEAR]]) /
   SUMIFS(Table1[Clicks], Table1[Subchannel], $A$1, Table1[Year], Table291011[[#This Row],[YEAR]]))</calculatedColumnFormula>
    </tableColumn>
    <tableColumn id="3" xr3:uid="{3BB43CED-EE22-4245-86B2-A3ED30925FA4}" name="Cost Per Order (CPO)" totalsRowFunction="average" dataDxfId="29" totalsRowDxfId="28">
      <calculatedColumnFormula>IF(SUMIFS(Table1[Media Spend], Table1[Subchannel], $A$1, Table1[Year], Table291011[[#This Row],[YEAR]]) = 0, "",
   SUMIFS(Table1[Media Spend], Table1[Subchannel], $A$1, Table1[Year], Table291011[[#This Row],[YEAR]]) /
   SUMIFS(Table1[Orders], Table1[Subchannel], $A$1, Table1[Year], Table291011[[#This Row],[YEAR]]))</calculatedColumnFormula>
    </tableColumn>
    <tableColumn id="4" xr3:uid="{320F0755-6FB1-4AD2-B2C2-B07E9B1E8DA2}" name="Average Order Value (AOV)" totalsRowFunction="average" dataDxfId="27" totalsRowDxfId="26">
      <calculatedColumnFormula>IF(SUMIFS(Table1[Revenue], Table1[Subchannel], $A$1, Table1[Year], Table291011[[#This Row],[YEAR]]) = 0, "",
   SUMIFS(Table1[Revenue], Table1[Subchannel], $A$1, Table1[Year], Table291011[[#This Row],[YEAR]]) /
   SUMIFS(Table1[Orders], Table1[Subchannel], $A$1, Table1[Year], Table291011[[#This Row],[YEAR]]))</calculatedColumnFormula>
    </tableColumn>
    <tableColumn id="5" xr3:uid="{BD00892A-D6C5-4FC1-913E-F4FC1DA7079A}" name="Return On Ad Spend (ROAS)" totalsRowFunction="average" dataDxfId="25" totalsRowDxfId="24">
      <calculatedColumnFormula>IF(SUMIFS(Table1[Revenue], Table1[Subchannel], $A$1, Table1[Year], Table291011[[#This Row],[YEAR]]) = 0, "",
   SUMIFS(Table1[Revenue], Table1[Subchannel], $A$1, Table1[Year], Table291011[[#This Row],[YEAR]]) /
   SUMIFS(Table1[Media Spend], Table1[Subchannel], $A$1, Table1[Year], Table291011[[#This Row],[YEAR]]))</calculatedColumnFormula>
    </tableColumn>
  </tableColumns>
  <tableStyleInfo name="TableStyleMedium2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720E942-39E3-4A55-BAD9-755ED72F646D}" name="Table29101112" displayName="Table29101112" ref="A2:E6" totalsRowCount="1" headerRowDxfId="23" dataDxfId="22">
  <autoFilter ref="A2:E5" xr:uid="{1720E942-39E3-4A55-BAD9-755ED72F646D}"/>
  <tableColumns count="5">
    <tableColumn id="1" xr3:uid="{7CAFF55B-1E1C-45B5-8B1A-C4B07207721A}" name="YEAR" totalsRowLabel="Average" dataDxfId="21" totalsRowDxfId="20"/>
    <tableColumn id="2" xr3:uid="{4E1741DD-A68F-4EB4-A695-6C5BB36920B0}" name="Cost Per Click (CPC)" totalsRowFunction="average" dataDxfId="19" totalsRowDxfId="18">
      <calculatedColumnFormula>IF(SUMIFS(Table1[Clicks], Table1[Subchannel], $A$1, Table1[Year], Table29101112[[#This Row],[YEAR]]) = 0, "",
   SUMIFS(Table1[Media Spend], Table1[Subchannel], $A$1, Table1[Year], Table29101112[[#This Row],[YEAR]]) /
   SUMIFS(Table1[Clicks], Table1[Subchannel], $A$1, Table1[Year], Table29101112[[#This Row],[YEAR]]))</calculatedColumnFormula>
    </tableColumn>
    <tableColumn id="3" xr3:uid="{AACEF87B-3BE1-4E81-B7AF-B412CD50309D}" name="Cost Per Order (CPO)" totalsRowFunction="average" dataDxfId="17" totalsRowDxfId="16">
      <calculatedColumnFormula>IF(SUMIFS(Table1[Media Spend], Table1[Subchannel], $A$1, Table1[Year], Table29101112[[#This Row],[YEAR]]) = 0, "",
   SUMIFS(Table1[Media Spend], Table1[Subchannel], $A$1, Table1[Year], Table29101112[[#This Row],[YEAR]]) /
   SUMIFS(Table1[Orders], Table1[Subchannel], $A$1, Table1[Year], Table29101112[[#This Row],[YEAR]]))</calculatedColumnFormula>
    </tableColumn>
    <tableColumn id="4" xr3:uid="{D122C675-2ADE-4BD7-858C-9E225895B7B7}" name="Average Order Value (AOV)" totalsRowFunction="average" dataDxfId="15" totalsRowDxfId="14">
      <calculatedColumnFormula>IF(SUMIFS(Table1[Revenue], Table1[Subchannel], $A$1, Table1[Year], Table29101112[[#This Row],[YEAR]]) = 0, "",
   SUMIFS(Table1[Revenue], Table1[Subchannel], $A$1, Table1[Year], Table29101112[[#This Row],[YEAR]]) /
   SUMIFS(Table1[Orders], Table1[Subchannel], $A$1, Table1[Year], Table29101112[[#This Row],[YEAR]]))</calculatedColumnFormula>
    </tableColumn>
    <tableColumn id="5" xr3:uid="{0B18E859-347C-4385-88EB-6821A3C60AD3}" name="Return On Ad Spend (ROAS)" totalsRowFunction="average" dataDxfId="13" totalsRowDxfId="12">
      <calculatedColumnFormula>IF(SUMIFS(Table1[Revenue], Table1[Subchannel], $A$1, Table1[Year], Table29101112[[#This Row],[YEAR]]) = 0, "",
   SUMIFS(Table1[Revenue], Table1[Subchannel], $A$1, Table1[Year], Table29101112[[#This Row],[YEAR]]) /
   SUMIFS(Table1[Media Spend], Table1[Subchannel], $A$1, Table1[Year], Table29101112[[#This Row],[YEAR]]))</calculatedColumnFormula>
    </tableColumn>
  </tableColumns>
  <tableStyleInfo name="TableStyleMedium2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DFDD56A9-7A6A-4518-BCF3-04868438421A}" name="Table2910111213" displayName="Table2910111213" ref="A2:E6" totalsRowCount="1" headerRowDxfId="11" dataDxfId="10">
  <autoFilter ref="A2:E5" xr:uid="{DFDD56A9-7A6A-4518-BCF3-04868438421A}"/>
  <tableColumns count="5">
    <tableColumn id="1" xr3:uid="{F5E0A6D9-D5DC-4F1C-9B84-C938F05AED66}" name="YEAR" totalsRowLabel="Average" dataDxfId="9" totalsRowDxfId="8"/>
    <tableColumn id="2" xr3:uid="{8AD908D7-F018-4A29-B22A-4A14838F7362}" name="Cost Per Click (CPC)" totalsRowFunction="average" dataDxfId="7" totalsRowDxfId="6">
      <calculatedColumnFormula>IF(SUMIFS(Table1[Clicks], Table1[Subchannel], $A$1, Table1[Year], Table2910111213[[#This Row],[YEAR]]) = 0, "",
   SUMIFS(Table1[Media Spend], Table1[Subchannel], $A$1, Table1[Year], Table2910111213[[#This Row],[YEAR]]) /
   SUMIFS(Table1[Clicks], Table1[Subchannel], $A$1, Table1[Year], Table2910111213[[#This Row],[YEAR]]))</calculatedColumnFormula>
    </tableColumn>
    <tableColumn id="3" xr3:uid="{528408FE-D15D-40AD-8C78-02C83B87FDFD}" name="Cost Per Order (CPO)" totalsRowFunction="average" dataDxfId="5" totalsRowDxfId="4">
      <calculatedColumnFormula>IF(SUMIFS(Table1[Media Spend], Table1[Subchannel], $A$1, Table1[Year], Table2910111213[[#This Row],[YEAR]]) = 0, "",
   SUMIFS(Table1[Media Spend], Table1[Subchannel], $A$1, Table1[Year], Table2910111213[[#This Row],[YEAR]]) /
   SUMIFS(Table1[Orders], Table1[Subchannel], $A$1, Table1[Year], Table2910111213[[#This Row],[YEAR]]))</calculatedColumnFormula>
    </tableColumn>
    <tableColumn id="4" xr3:uid="{C77BB2E2-C3E8-45C2-BB88-A81FC39F23E9}" name="Average Order Value (AOV)" totalsRowFunction="average" dataDxfId="3" totalsRowDxfId="2">
      <calculatedColumnFormula>IF(SUMIFS(Table1[Revenue], Table1[Subchannel], $A$1, Table1[Year], Table2910111213[[#This Row],[YEAR]]) = 0, "",
   SUMIFS(Table1[Revenue], Table1[Subchannel], $A$1, Table1[Year], Table2910111213[[#This Row],[YEAR]]) /
   SUMIFS(Table1[Orders], Table1[Subchannel], $A$1, Table1[Year], Table2910111213[[#This Row],[YEAR]]))</calculatedColumnFormula>
    </tableColumn>
    <tableColumn id="5" xr3:uid="{978F98EA-FFB5-47F7-BD01-22C7B96DC709}" name="Return On Ad Spend (ROAS)" totalsRowFunction="average" dataDxfId="1" totalsRowDxfId="0">
      <calculatedColumnFormula>IF(SUMIFS(Table1[Revenue], Table1[Subchannel], $A$1, Table1[Year], Table2910111213[[#This Row],[YEAR]]) = 0, "",
   SUMIFS(Table1[Revenue], Table1[Subchannel], $A$1, Table1[Year], Table2910111213[[#This Row],[YEAR]]) /
   SUMIFS(Table1[Media Spend], Table1[Subchannel], $A$1, Table1[Year], Table2910111213[[#This Row],[YEAR]]))</calculatedColumnFormula>
    </tableColumn>
  </tableColumns>
  <tableStyleInfo name="TableStyleMedium28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490"/>
  <sheetViews>
    <sheetView workbookViewId="0">
      <selection activeCell="E1" sqref="E1"/>
    </sheetView>
  </sheetViews>
  <sheetFormatPr defaultColWidth="12.54296875" defaultRowHeight="15.75" customHeight="1" x14ac:dyDescent="0.25"/>
  <cols>
    <col min="3" max="3" width="16.54296875" customWidth="1"/>
    <col min="4" max="4" width="13.453125" customWidth="1"/>
    <col min="5" max="5" width="14.81640625" customWidth="1"/>
    <col min="6" max="6" width="13.81640625" customWidth="1"/>
    <col min="9" max="9" width="13.81640625" bestFit="1" customWidth="1"/>
    <col min="10" max="10" width="17.1796875" customWidth="1"/>
    <col min="11" max="11" width="18" bestFit="1" customWidth="1"/>
    <col min="13" max="13" width="13.453125" bestFit="1" customWidth="1"/>
    <col min="14" max="14" width="18.54296875" bestFit="1" customWidth="1"/>
    <col min="15" max="15" width="19.1796875" bestFit="1" customWidth="1"/>
    <col min="16" max="16" width="24.1796875" bestFit="1" customWidth="1"/>
    <col min="17" max="18" width="25.1796875" bestFit="1" customWidth="1"/>
  </cols>
  <sheetData>
    <row r="1" spans="1:11" ht="33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</row>
    <row r="2" spans="1:11" ht="14.5" x14ac:dyDescent="0.35">
      <c r="A2" s="3">
        <v>43834</v>
      </c>
      <c r="B2" s="4">
        <v>2020</v>
      </c>
      <c r="C2" s="4" t="s">
        <v>11</v>
      </c>
      <c r="D2" s="4" t="s">
        <v>12</v>
      </c>
      <c r="E2" s="5">
        <v>3.56</v>
      </c>
      <c r="F2" s="4">
        <v>137</v>
      </c>
      <c r="G2" s="4">
        <v>0</v>
      </c>
      <c r="H2" s="4">
        <v>7</v>
      </c>
      <c r="I2" s="5">
        <v>0</v>
      </c>
      <c r="J2" s="6">
        <v>0</v>
      </c>
      <c r="K2" s="6">
        <v>38</v>
      </c>
    </row>
    <row r="3" spans="1:11" ht="14.5" x14ac:dyDescent="0.35">
      <c r="A3" s="3">
        <v>43841</v>
      </c>
      <c r="B3" s="4">
        <v>2020</v>
      </c>
      <c r="C3" s="4" t="s">
        <v>11</v>
      </c>
      <c r="D3" s="4" t="s">
        <v>12</v>
      </c>
      <c r="E3" s="5">
        <v>7.77</v>
      </c>
      <c r="F3" s="4">
        <v>419</v>
      </c>
      <c r="G3" s="4">
        <v>0</v>
      </c>
      <c r="H3" s="4">
        <v>13</v>
      </c>
      <c r="I3" s="5">
        <v>0</v>
      </c>
      <c r="J3" s="6">
        <v>0</v>
      </c>
      <c r="K3" s="6">
        <v>44</v>
      </c>
    </row>
    <row r="4" spans="1:11" ht="14.5" x14ac:dyDescent="0.35">
      <c r="A4" s="3">
        <v>43848</v>
      </c>
      <c r="B4" s="4">
        <v>2020</v>
      </c>
      <c r="C4" s="4" t="s">
        <v>11</v>
      </c>
      <c r="D4" s="4" t="s">
        <v>12</v>
      </c>
      <c r="E4" s="5">
        <v>10.7</v>
      </c>
      <c r="F4" s="4">
        <v>726</v>
      </c>
      <c r="G4" s="4">
        <v>1</v>
      </c>
      <c r="H4" s="4">
        <v>21</v>
      </c>
      <c r="I4" s="5">
        <v>19.5</v>
      </c>
      <c r="J4" s="6">
        <v>49</v>
      </c>
      <c r="K4" s="6">
        <v>61</v>
      </c>
    </row>
    <row r="5" spans="1:11" ht="14.5" x14ac:dyDescent="0.35">
      <c r="A5" s="3">
        <v>43855</v>
      </c>
      <c r="B5" s="4">
        <v>2020</v>
      </c>
      <c r="C5" s="4" t="s">
        <v>11</v>
      </c>
      <c r="D5" s="4" t="s">
        <v>12</v>
      </c>
      <c r="E5" s="5">
        <v>65.39</v>
      </c>
      <c r="F5" s="7">
        <v>1217</v>
      </c>
      <c r="G5" s="4">
        <v>4.7699999999999996</v>
      </c>
      <c r="H5" s="4">
        <v>82</v>
      </c>
      <c r="I5" s="5">
        <v>374.99</v>
      </c>
      <c r="J5" s="6">
        <v>62</v>
      </c>
      <c r="K5" s="6">
        <v>74</v>
      </c>
    </row>
    <row r="6" spans="1:11" ht="14.5" x14ac:dyDescent="0.35">
      <c r="A6" s="3">
        <v>43862</v>
      </c>
      <c r="B6" s="4">
        <v>2020</v>
      </c>
      <c r="C6" s="4" t="s">
        <v>11</v>
      </c>
      <c r="D6" s="4" t="s">
        <v>12</v>
      </c>
      <c r="E6" s="5">
        <v>65.790000000000006</v>
      </c>
      <c r="F6" s="7">
        <v>2092</v>
      </c>
      <c r="G6" s="4">
        <v>0.25</v>
      </c>
      <c r="H6" s="4">
        <v>99</v>
      </c>
      <c r="I6" s="5">
        <v>31.28</v>
      </c>
      <c r="J6" s="6">
        <v>64</v>
      </c>
      <c r="K6" s="6">
        <v>76</v>
      </c>
    </row>
    <row r="7" spans="1:11" ht="14.5" x14ac:dyDescent="0.35">
      <c r="A7" s="3">
        <v>43869</v>
      </c>
      <c r="B7" s="4">
        <v>2020</v>
      </c>
      <c r="C7" s="4" t="s">
        <v>11</v>
      </c>
      <c r="D7" s="4" t="s">
        <v>12</v>
      </c>
      <c r="E7" s="5">
        <v>67.099999999999994</v>
      </c>
      <c r="F7" s="7">
        <v>2094</v>
      </c>
      <c r="G7" s="4">
        <v>2</v>
      </c>
      <c r="H7" s="4">
        <v>99</v>
      </c>
      <c r="I7" s="5">
        <v>159</v>
      </c>
      <c r="J7" s="6">
        <v>69</v>
      </c>
      <c r="K7" s="6">
        <v>81</v>
      </c>
    </row>
    <row r="8" spans="1:11" ht="14.5" x14ac:dyDescent="0.35">
      <c r="A8" s="3">
        <v>43876</v>
      </c>
      <c r="B8" s="4">
        <v>2020</v>
      </c>
      <c r="C8" s="4" t="s">
        <v>11</v>
      </c>
      <c r="D8" s="4" t="s">
        <v>12</v>
      </c>
      <c r="E8" s="5">
        <v>67.16</v>
      </c>
      <c r="F8" s="7">
        <v>4206</v>
      </c>
      <c r="G8" s="4">
        <v>2</v>
      </c>
      <c r="H8" s="4">
        <v>144</v>
      </c>
      <c r="I8" s="5">
        <v>75.16</v>
      </c>
      <c r="J8" s="6">
        <v>70</v>
      </c>
      <c r="K8" s="6">
        <v>82</v>
      </c>
    </row>
    <row r="9" spans="1:11" ht="14.5" x14ac:dyDescent="0.35">
      <c r="A9" s="3">
        <v>43883</v>
      </c>
      <c r="B9" s="4">
        <v>2020</v>
      </c>
      <c r="C9" s="4" t="s">
        <v>11</v>
      </c>
      <c r="D9" s="4" t="s">
        <v>12</v>
      </c>
      <c r="E9" s="5">
        <v>79.62</v>
      </c>
      <c r="F9" s="7">
        <v>2190</v>
      </c>
      <c r="G9" s="4">
        <v>0.28000000000000003</v>
      </c>
      <c r="H9" s="4">
        <v>97</v>
      </c>
      <c r="I9" s="5">
        <v>45.94</v>
      </c>
      <c r="J9" s="6">
        <v>82</v>
      </c>
      <c r="K9" s="6">
        <v>94</v>
      </c>
    </row>
    <row r="10" spans="1:11" ht="14.5" x14ac:dyDescent="0.35">
      <c r="A10" s="3">
        <v>43890</v>
      </c>
      <c r="B10" s="4">
        <v>2020</v>
      </c>
      <c r="C10" s="4" t="s">
        <v>11</v>
      </c>
      <c r="D10" s="4" t="s">
        <v>12</v>
      </c>
      <c r="E10" s="5">
        <v>86.41</v>
      </c>
      <c r="F10" s="7">
        <v>2605</v>
      </c>
      <c r="G10" s="4">
        <v>5.54</v>
      </c>
      <c r="H10" s="4">
        <v>147</v>
      </c>
      <c r="I10" s="5">
        <v>843.07</v>
      </c>
      <c r="J10" s="6">
        <v>90</v>
      </c>
      <c r="K10" s="6">
        <v>102</v>
      </c>
    </row>
    <row r="11" spans="1:11" ht="14.5" x14ac:dyDescent="0.35">
      <c r="A11" s="3">
        <v>43897</v>
      </c>
      <c r="B11" s="4">
        <v>2020</v>
      </c>
      <c r="C11" s="4" t="s">
        <v>11</v>
      </c>
      <c r="D11" s="4" t="s">
        <v>12</v>
      </c>
      <c r="E11" s="5">
        <v>111.79</v>
      </c>
      <c r="F11" s="7">
        <v>1894</v>
      </c>
      <c r="G11" s="4">
        <v>5.19</v>
      </c>
      <c r="H11" s="4">
        <v>90</v>
      </c>
      <c r="I11" s="5">
        <v>1426.4</v>
      </c>
      <c r="J11" s="6">
        <v>96</v>
      </c>
      <c r="K11" s="6">
        <v>108</v>
      </c>
    </row>
    <row r="12" spans="1:11" ht="14.5" x14ac:dyDescent="0.35">
      <c r="A12" s="3">
        <v>43904</v>
      </c>
      <c r="B12" s="4">
        <v>2020</v>
      </c>
      <c r="C12" s="4" t="s">
        <v>11</v>
      </c>
      <c r="D12" s="4" t="s">
        <v>12</v>
      </c>
      <c r="E12" s="5">
        <v>112.4</v>
      </c>
      <c r="F12" s="7">
        <v>6822</v>
      </c>
      <c r="G12" s="4">
        <v>8.5</v>
      </c>
      <c r="H12" s="4">
        <v>175</v>
      </c>
      <c r="I12" s="5">
        <v>352.75</v>
      </c>
      <c r="J12" s="6">
        <v>97</v>
      </c>
      <c r="K12" s="6">
        <v>109</v>
      </c>
    </row>
    <row r="13" spans="1:11" ht="14.5" x14ac:dyDescent="0.35">
      <c r="A13" s="3">
        <v>43911</v>
      </c>
      <c r="B13" s="4">
        <v>2020</v>
      </c>
      <c r="C13" s="4" t="s">
        <v>11</v>
      </c>
      <c r="D13" s="4" t="s">
        <v>12</v>
      </c>
      <c r="E13" s="5">
        <v>113.4</v>
      </c>
      <c r="F13" s="7">
        <v>3280</v>
      </c>
      <c r="G13" s="4">
        <v>2.98</v>
      </c>
      <c r="H13" s="4">
        <v>145</v>
      </c>
      <c r="I13" s="5">
        <v>92.62</v>
      </c>
      <c r="J13" s="6">
        <v>103</v>
      </c>
      <c r="K13" s="6">
        <v>115</v>
      </c>
    </row>
    <row r="14" spans="1:11" ht="14.5" x14ac:dyDescent="0.35">
      <c r="A14" s="3">
        <v>43918</v>
      </c>
      <c r="B14" s="4">
        <v>2020</v>
      </c>
      <c r="C14" s="4" t="s">
        <v>11</v>
      </c>
      <c r="D14" s="4" t="s">
        <v>12</v>
      </c>
      <c r="E14" s="5">
        <v>120.15</v>
      </c>
      <c r="F14" s="7">
        <v>1472</v>
      </c>
      <c r="G14" s="4">
        <v>2.48</v>
      </c>
      <c r="H14" s="4">
        <v>100</v>
      </c>
      <c r="I14" s="5">
        <v>350.83</v>
      </c>
      <c r="J14" s="6">
        <v>109</v>
      </c>
      <c r="K14" s="6">
        <v>121</v>
      </c>
    </row>
    <row r="15" spans="1:11" ht="14.5" x14ac:dyDescent="0.35">
      <c r="A15" s="3">
        <v>43918</v>
      </c>
      <c r="B15" s="4">
        <v>2020</v>
      </c>
      <c r="C15" s="4" t="s">
        <v>13</v>
      </c>
      <c r="D15" s="4" t="s">
        <v>14</v>
      </c>
      <c r="E15" s="5">
        <v>792.34</v>
      </c>
      <c r="F15" s="7">
        <v>57197</v>
      </c>
      <c r="G15" s="4">
        <v>972</v>
      </c>
      <c r="H15" s="4">
        <v>83</v>
      </c>
      <c r="I15" s="5">
        <v>7001.19</v>
      </c>
      <c r="J15" s="6">
        <v>145</v>
      </c>
      <c r="K15" s="6">
        <v>190</v>
      </c>
    </row>
    <row r="16" spans="1:11" ht="14.5" x14ac:dyDescent="0.35">
      <c r="A16" s="3">
        <v>43925</v>
      </c>
      <c r="B16" s="4">
        <v>2020</v>
      </c>
      <c r="C16" s="4" t="s">
        <v>11</v>
      </c>
      <c r="D16" s="4" t="s">
        <v>12</v>
      </c>
      <c r="E16" s="5">
        <v>122.97</v>
      </c>
      <c r="F16" s="7">
        <v>6051</v>
      </c>
      <c r="G16" s="4">
        <v>1.75</v>
      </c>
      <c r="H16" s="4">
        <v>169</v>
      </c>
      <c r="I16" s="5">
        <v>60.45</v>
      </c>
      <c r="J16" s="6">
        <v>115</v>
      </c>
      <c r="K16" s="6">
        <v>127</v>
      </c>
    </row>
    <row r="17" spans="1:11" ht="14.5" x14ac:dyDescent="0.35">
      <c r="A17" s="3">
        <v>43925</v>
      </c>
      <c r="B17" s="4">
        <v>2020</v>
      </c>
      <c r="C17" s="4" t="s">
        <v>13</v>
      </c>
      <c r="D17" s="4" t="s">
        <v>14</v>
      </c>
      <c r="E17" s="5">
        <v>1608.62</v>
      </c>
      <c r="F17" s="7">
        <v>169684</v>
      </c>
      <c r="G17" s="4">
        <v>648</v>
      </c>
      <c r="H17" s="4">
        <v>35</v>
      </c>
      <c r="I17" s="5">
        <v>2458.71</v>
      </c>
      <c r="J17" s="6">
        <v>305</v>
      </c>
      <c r="K17" s="6">
        <v>470</v>
      </c>
    </row>
    <row r="18" spans="1:11" ht="14.5" x14ac:dyDescent="0.35">
      <c r="A18" s="3">
        <v>43932</v>
      </c>
      <c r="B18" s="4">
        <v>2020</v>
      </c>
      <c r="C18" s="4" t="s">
        <v>11</v>
      </c>
      <c r="D18" s="4" t="s">
        <v>12</v>
      </c>
      <c r="E18" s="5">
        <v>131.6</v>
      </c>
      <c r="F18" s="7">
        <v>1541</v>
      </c>
      <c r="G18" s="4">
        <v>5.3</v>
      </c>
      <c r="H18" s="4">
        <v>98</v>
      </c>
      <c r="I18" s="5">
        <v>509.5</v>
      </c>
      <c r="J18" s="6">
        <v>121</v>
      </c>
      <c r="K18" s="6">
        <v>133</v>
      </c>
    </row>
    <row r="19" spans="1:11" ht="14.5" x14ac:dyDescent="0.35">
      <c r="A19" s="3">
        <v>43932</v>
      </c>
      <c r="B19" s="4">
        <v>2020</v>
      </c>
      <c r="C19" s="4" t="s">
        <v>13</v>
      </c>
      <c r="D19" s="4" t="s">
        <v>14</v>
      </c>
      <c r="E19" s="5">
        <v>2002.5</v>
      </c>
      <c r="F19" s="7">
        <v>71543</v>
      </c>
      <c r="G19" s="4">
        <v>610</v>
      </c>
      <c r="H19" s="4">
        <v>16</v>
      </c>
      <c r="I19" s="5">
        <v>1930.88</v>
      </c>
      <c r="J19" s="6">
        <v>329</v>
      </c>
      <c r="K19" s="6">
        <v>512</v>
      </c>
    </row>
    <row r="20" spans="1:11" ht="14.5" x14ac:dyDescent="0.35">
      <c r="A20" s="3">
        <v>43939</v>
      </c>
      <c r="B20" s="4">
        <v>2020</v>
      </c>
      <c r="C20" s="4" t="s">
        <v>11</v>
      </c>
      <c r="D20" s="4" t="s">
        <v>12</v>
      </c>
      <c r="E20" s="5">
        <v>133.16999999999999</v>
      </c>
      <c r="F20" s="7">
        <v>6546</v>
      </c>
      <c r="G20" s="4">
        <v>1</v>
      </c>
      <c r="H20" s="4">
        <v>198</v>
      </c>
      <c r="I20" s="5">
        <v>39.75</v>
      </c>
      <c r="J20" s="6">
        <v>127</v>
      </c>
      <c r="K20" s="6">
        <v>139</v>
      </c>
    </row>
    <row r="21" spans="1:11" ht="14.5" x14ac:dyDescent="0.35">
      <c r="A21" s="3">
        <v>43939</v>
      </c>
      <c r="B21" s="4">
        <v>2020</v>
      </c>
      <c r="C21" s="4" t="s">
        <v>13</v>
      </c>
      <c r="D21" s="4" t="s">
        <v>14</v>
      </c>
      <c r="E21" s="5">
        <v>7170.23</v>
      </c>
      <c r="F21" s="7">
        <v>200544</v>
      </c>
      <c r="G21" s="7">
        <v>5335</v>
      </c>
      <c r="H21" s="7">
        <v>3215</v>
      </c>
      <c r="I21" s="5">
        <v>245512.65</v>
      </c>
      <c r="J21" s="6">
        <v>621</v>
      </c>
      <c r="K21" s="8">
        <v>1023</v>
      </c>
    </row>
    <row r="22" spans="1:11" ht="14.5" x14ac:dyDescent="0.35">
      <c r="A22" s="3">
        <v>43946</v>
      </c>
      <c r="B22" s="4">
        <v>2020</v>
      </c>
      <c r="C22" s="4" t="s">
        <v>11</v>
      </c>
      <c r="D22" s="4" t="s">
        <v>12</v>
      </c>
      <c r="E22" s="5">
        <v>137.15</v>
      </c>
      <c r="F22" s="7">
        <v>1632</v>
      </c>
      <c r="G22" s="4">
        <v>2.83</v>
      </c>
      <c r="H22" s="4">
        <v>130</v>
      </c>
      <c r="I22" s="5">
        <v>318.82</v>
      </c>
      <c r="J22" s="6">
        <v>133</v>
      </c>
      <c r="K22" s="6">
        <v>145</v>
      </c>
    </row>
    <row r="23" spans="1:11" ht="14.5" x14ac:dyDescent="0.35">
      <c r="A23" s="3">
        <v>43946</v>
      </c>
      <c r="B23" s="4">
        <v>2020</v>
      </c>
      <c r="C23" s="4" t="s">
        <v>13</v>
      </c>
      <c r="D23" s="4" t="s">
        <v>14</v>
      </c>
      <c r="E23" s="5">
        <v>7815.57</v>
      </c>
      <c r="F23" s="7">
        <v>737904</v>
      </c>
      <c r="G23" s="7">
        <v>2775</v>
      </c>
      <c r="H23" s="4">
        <v>152</v>
      </c>
      <c r="I23" s="5">
        <v>11521.06</v>
      </c>
      <c r="J23" s="6">
        <v>641</v>
      </c>
      <c r="K23" s="8">
        <v>1058</v>
      </c>
    </row>
    <row r="24" spans="1:11" ht="14.5" x14ac:dyDescent="0.35">
      <c r="A24" s="3">
        <v>43953</v>
      </c>
      <c r="B24" s="4">
        <v>2020</v>
      </c>
      <c r="C24" s="4" t="s">
        <v>11</v>
      </c>
      <c r="D24" s="4" t="s">
        <v>12</v>
      </c>
      <c r="E24" s="5">
        <v>139.86000000000001</v>
      </c>
      <c r="F24" s="7">
        <v>4023</v>
      </c>
      <c r="G24" s="4">
        <v>5.13</v>
      </c>
      <c r="H24" s="4">
        <v>164</v>
      </c>
      <c r="I24" s="5">
        <v>344.9</v>
      </c>
      <c r="J24" s="6">
        <v>139</v>
      </c>
      <c r="K24" s="6">
        <v>151</v>
      </c>
    </row>
    <row r="25" spans="1:11" ht="14.5" x14ac:dyDescent="0.35">
      <c r="A25" s="3">
        <v>43953</v>
      </c>
      <c r="B25" s="4">
        <v>2020</v>
      </c>
      <c r="C25" s="4" t="s">
        <v>13</v>
      </c>
      <c r="D25" s="4" t="s">
        <v>14</v>
      </c>
      <c r="E25" s="5">
        <v>11365.02</v>
      </c>
      <c r="F25" s="7">
        <v>2979110</v>
      </c>
      <c r="G25" s="7">
        <v>6268</v>
      </c>
      <c r="H25" s="4">
        <v>309</v>
      </c>
      <c r="I25" s="5">
        <v>28024.87</v>
      </c>
      <c r="J25" s="6">
        <v>785</v>
      </c>
      <c r="K25" s="8">
        <v>1310</v>
      </c>
    </row>
    <row r="26" spans="1:11" ht="14.5" x14ac:dyDescent="0.35">
      <c r="A26" s="3">
        <v>43960</v>
      </c>
      <c r="B26" s="4">
        <v>2020</v>
      </c>
      <c r="C26" s="4" t="s">
        <v>11</v>
      </c>
      <c r="D26" s="4" t="s">
        <v>12</v>
      </c>
      <c r="E26" s="5">
        <v>142</v>
      </c>
      <c r="F26" s="7">
        <v>3233</v>
      </c>
      <c r="G26" s="4">
        <v>1</v>
      </c>
      <c r="H26" s="4">
        <v>118</v>
      </c>
      <c r="I26" s="5">
        <v>65.02</v>
      </c>
      <c r="J26" s="6">
        <v>145</v>
      </c>
      <c r="K26" s="6">
        <v>157</v>
      </c>
    </row>
    <row r="27" spans="1:11" ht="14.5" x14ac:dyDescent="0.35">
      <c r="A27" s="3">
        <v>43960</v>
      </c>
      <c r="B27" s="4">
        <v>2020</v>
      </c>
      <c r="C27" s="4" t="s">
        <v>13</v>
      </c>
      <c r="D27" s="4" t="s">
        <v>14</v>
      </c>
      <c r="E27" s="5">
        <v>15673.95</v>
      </c>
      <c r="F27" s="7">
        <v>613779</v>
      </c>
      <c r="G27" s="7">
        <v>3325</v>
      </c>
      <c r="H27" s="4">
        <v>305</v>
      </c>
      <c r="I27" s="5">
        <v>30871.69</v>
      </c>
      <c r="J27" s="6">
        <v>929</v>
      </c>
      <c r="K27" s="8">
        <v>1562</v>
      </c>
    </row>
    <row r="28" spans="1:11" ht="14.5" x14ac:dyDescent="0.35">
      <c r="A28" s="3">
        <v>43967</v>
      </c>
      <c r="B28" s="4">
        <v>2020</v>
      </c>
      <c r="C28" s="4" t="s">
        <v>11</v>
      </c>
      <c r="D28" s="4" t="s">
        <v>12</v>
      </c>
      <c r="E28" s="5">
        <v>142.31</v>
      </c>
      <c r="F28" s="7">
        <v>2952</v>
      </c>
      <c r="G28" s="4">
        <v>1</v>
      </c>
      <c r="H28" s="4">
        <v>114</v>
      </c>
      <c r="I28" s="5">
        <v>68.400000000000006</v>
      </c>
      <c r="J28" s="6">
        <v>151</v>
      </c>
      <c r="K28" s="6">
        <v>163</v>
      </c>
    </row>
    <row r="29" spans="1:11" ht="14.5" x14ac:dyDescent="0.35">
      <c r="A29" s="3">
        <v>43967</v>
      </c>
      <c r="B29" s="4">
        <v>2020</v>
      </c>
      <c r="C29" s="4" t="s">
        <v>13</v>
      </c>
      <c r="D29" s="4" t="s">
        <v>14</v>
      </c>
      <c r="E29" s="5">
        <v>15673.98</v>
      </c>
      <c r="F29" s="7">
        <v>955035</v>
      </c>
      <c r="G29" s="7">
        <v>11740</v>
      </c>
      <c r="H29" s="7">
        <v>1187</v>
      </c>
      <c r="I29" s="5">
        <v>110825.87</v>
      </c>
      <c r="J29" s="6">
        <v>933</v>
      </c>
      <c r="K29" s="8">
        <v>1569</v>
      </c>
    </row>
    <row r="30" spans="1:11" ht="14.5" x14ac:dyDescent="0.35">
      <c r="A30" s="3">
        <v>43974</v>
      </c>
      <c r="B30" s="4">
        <v>2020</v>
      </c>
      <c r="C30" s="4" t="s">
        <v>13</v>
      </c>
      <c r="D30" s="4" t="s">
        <v>14</v>
      </c>
      <c r="E30" s="5">
        <v>20035.12</v>
      </c>
      <c r="F30" s="7">
        <v>1662958</v>
      </c>
      <c r="G30" s="7">
        <v>30716</v>
      </c>
      <c r="H30" s="7">
        <v>2195</v>
      </c>
      <c r="I30" s="5">
        <v>211954.84</v>
      </c>
      <c r="J30" s="8">
        <v>1017</v>
      </c>
      <c r="K30" s="8">
        <v>1716</v>
      </c>
    </row>
    <row r="31" spans="1:11" ht="14.5" x14ac:dyDescent="0.35">
      <c r="A31" s="3">
        <v>43974</v>
      </c>
      <c r="B31" s="4">
        <v>2020</v>
      </c>
      <c r="C31" s="4" t="s">
        <v>11</v>
      </c>
      <c r="D31" s="4" t="s">
        <v>12</v>
      </c>
      <c r="E31" s="5">
        <v>143.09</v>
      </c>
      <c r="F31" s="7">
        <v>4892</v>
      </c>
      <c r="G31" s="4">
        <v>2.21</v>
      </c>
      <c r="H31" s="4">
        <v>167</v>
      </c>
      <c r="I31" s="5">
        <v>102.66</v>
      </c>
      <c r="J31" s="6">
        <v>157</v>
      </c>
      <c r="K31" s="6">
        <v>169</v>
      </c>
    </row>
    <row r="32" spans="1:11" ht="14.5" x14ac:dyDescent="0.35">
      <c r="A32" s="3">
        <v>43981</v>
      </c>
      <c r="B32" s="4">
        <v>2020</v>
      </c>
      <c r="C32" s="4" t="s">
        <v>11</v>
      </c>
      <c r="D32" s="4" t="s">
        <v>12</v>
      </c>
      <c r="E32" s="5">
        <v>143.32</v>
      </c>
      <c r="F32" s="7">
        <v>2744</v>
      </c>
      <c r="G32" s="4">
        <v>6.14</v>
      </c>
      <c r="H32" s="4">
        <v>122</v>
      </c>
      <c r="I32" s="5">
        <v>722.85</v>
      </c>
      <c r="J32" s="6">
        <v>163</v>
      </c>
      <c r="K32" s="6">
        <v>175</v>
      </c>
    </row>
    <row r="33" spans="1:11" ht="14.5" x14ac:dyDescent="0.35">
      <c r="A33" s="3">
        <v>43981</v>
      </c>
      <c r="B33" s="4">
        <v>2020</v>
      </c>
      <c r="C33" s="4" t="s">
        <v>13</v>
      </c>
      <c r="D33" s="4" t="s">
        <v>14</v>
      </c>
      <c r="E33" s="5">
        <v>20954.75</v>
      </c>
      <c r="F33" s="7">
        <v>5030829</v>
      </c>
      <c r="G33" s="7">
        <v>7707</v>
      </c>
      <c r="H33" s="7">
        <v>1677</v>
      </c>
      <c r="I33" s="5">
        <v>137130.68</v>
      </c>
      <c r="J33" s="8">
        <v>1037</v>
      </c>
      <c r="K33" s="8">
        <v>1751</v>
      </c>
    </row>
    <row r="34" spans="1:11" ht="14.5" x14ac:dyDescent="0.35">
      <c r="A34" s="3">
        <v>43988</v>
      </c>
      <c r="B34" s="4">
        <v>2020</v>
      </c>
      <c r="C34" s="4" t="s">
        <v>11</v>
      </c>
      <c r="D34" s="4" t="s">
        <v>12</v>
      </c>
      <c r="E34" s="5">
        <v>144.72</v>
      </c>
      <c r="F34" s="7">
        <v>2074</v>
      </c>
      <c r="G34" s="4">
        <v>0</v>
      </c>
      <c r="H34" s="4">
        <v>126</v>
      </c>
      <c r="I34" s="5">
        <v>0</v>
      </c>
      <c r="J34" s="6">
        <v>0</v>
      </c>
      <c r="K34" s="6">
        <v>181</v>
      </c>
    </row>
    <row r="35" spans="1:11" ht="14.5" x14ac:dyDescent="0.35">
      <c r="A35" s="3">
        <v>43988</v>
      </c>
      <c r="B35" s="4">
        <v>2020</v>
      </c>
      <c r="C35" s="4" t="s">
        <v>11</v>
      </c>
      <c r="D35" s="4" t="s">
        <v>15</v>
      </c>
      <c r="E35" s="5">
        <v>104.86</v>
      </c>
      <c r="F35" s="4">
        <v>734</v>
      </c>
      <c r="G35" s="4">
        <v>14.5</v>
      </c>
      <c r="H35" s="4">
        <v>138</v>
      </c>
      <c r="I35" s="5">
        <v>1402.75</v>
      </c>
      <c r="J35" s="6">
        <v>97</v>
      </c>
      <c r="K35" s="6">
        <v>109</v>
      </c>
    </row>
    <row r="36" spans="1:11" ht="14.5" x14ac:dyDescent="0.35">
      <c r="A36" s="3">
        <v>43988</v>
      </c>
      <c r="B36" s="4">
        <v>2020</v>
      </c>
      <c r="C36" s="4" t="s">
        <v>13</v>
      </c>
      <c r="D36" s="4" t="s">
        <v>14</v>
      </c>
      <c r="E36" s="5">
        <v>30963.64</v>
      </c>
      <c r="F36" s="7">
        <v>1217023</v>
      </c>
      <c r="G36" s="7">
        <v>33147</v>
      </c>
      <c r="H36" s="7">
        <v>7273</v>
      </c>
      <c r="I36" s="5">
        <v>652650.14</v>
      </c>
      <c r="J36" s="8">
        <v>1237</v>
      </c>
      <c r="K36" s="8">
        <v>2101</v>
      </c>
    </row>
    <row r="37" spans="1:11" ht="14.5" x14ac:dyDescent="0.35">
      <c r="A37" s="3">
        <v>43995</v>
      </c>
      <c r="B37" s="4">
        <v>2020</v>
      </c>
      <c r="C37" s="4" t="s">
        <v>11</v>
      </c>
      <c r="D37" s="4" t="s">
        <v>12</v>
      </c>
      <c r="E37" s="5">
        <v>145.97</v>
      </c>
      <c r="F37" s="7">
        <v>3382</v>
      </c>
      <c r="G37" s="4">
        <v>0</v>
      </c>
      <c r="H37" s="4">
        <v>129</v>
      </c>
      <c r="I37" s="5">
        <v>0</v>
      </c>
      <c r="J37" s="6">
        <v>0</v>
      </c>
      <c r="K37" s="6">
        <v>187</v>
      </c>
    </row>
    <row r="38" spans="1:11" ht="14.5" x14ac:dyDescent="0.35">
      <c r="A38" s="3">
        <v>43995</v>
      </c>
      <c r="B38" s="4">
        <v>2020</v>
      </c>
      <c r="C38" s="4" t="s">
        <v>13</v>
      </c>
      <c r="D38" s="4" t="s">
        <v>16</v>
      </c>
      <c r="E38" s="5">
        <v>14.75</v>
      </c>
      <c r="F38" s="4">
        <v>942</v>
      </c>
      <c r="G38" s="4">
        <v>26</v>
      </c>
      <c r="H38" s="4">
        <v>6</v>
      </c>
      <c r="I38" s="5">
        <v>502.73</v>
      </c>
      <c r="J38" s="6">
        <v>13</v>
      </c>
      <c r="K38" s="6">
        <v>24</v>
      </c>
    </row>
    <row r="39" spans="1:11" ht="14.5" x14ac:dyDescent="0.35">
      <c r="A39" s="3">
        <v>43995</v>
      </c>
      <c r="B39" s="4">
        <v>2020</v>
      </c>
      <c r="C39" s="4" t="s">
        <v>11</v>
      </c>
      <c r="D39" s="4" t="s">
        <v>15</v>
      </c>
      <c r="E39" s="5">
        <v>228.43</v>
      </c>
      <c r="F39" s="7">
        <v>1447</v>
      </c>
      <c r="G39" s="4">
        <v>34.619999999999997</v>
      </c>
      <c r="H39" s="4">
        <v>325</v>
      </c>
      <c r="I39" s="5">
        <v>3876.55</v>
      </c>
      <c r="J39" s="6">
        <v>301</v>
      </c>
      <c r="K39" s="6">
        <v>313</v>
      </c>
    </row>
    <row r="40" spans="1:11" ht="14.5" x14ac:dyDescent="0.35">
      <c r="A40" s="3">
        <v>43995</v>
      </c>
      <c r="B40" s="4">
        <v>2020</v>
      </c>
      <c r="C40" s="4" t="s">
        <v>13</v>
      </c>
      <c r="D40" s="4" t="s">
        <v>14</v>
      </c>
      <c r="E40" s="5">
        <v>31876.76</v>
      </c>
      <c r="F40" s="7">
        <v>1284913</v>
      </c>
      <c r="G40" s="7">
        <v>24144</v>
      </c>
      <c r="H40" s="4">
        <v>580</v>
      </c>
      <c r="I40" s="5">
        <v>72446.87</v>
      </c>
      <c r="J40" s="8">
        <v>1261</v>
      </c>
      <c r="K40" s="8">
        <v>2143</v>
      </c>
    </row>
    <row r="41" spans="1:11" ht="14.5" x14ac:dyDescent="0.35">
      <c r="A41" s="3">
        <v>44002</v>
      </c>
      <c r="B41" s="4">
        <v>2020</v>
      </c>
      <c r="C41" s="4" t="s">
        <v>11</v>
      </c>
      <c r="D41" s="4" t="s">
        <v>12</v>
      </c>
      <c r="E41" s="5">
        <v>146.18</v>
      </c>
      <c r="F41" s="7">
        <v>6242</v>
      </c>
      <c r="G41" s="4">
        <v>2.74</v>
      </c>
      <c r="H41" s="4">
        <v>212</v>
      </c>
      <c r="I41" s="5">
        <v>377.51</v>
      </c>
      <c r="J41" s="6">
        <v>181</v>
      </c>
      <c r="K41" s="6">
        <v>193</v>
      </c>
    </row>
    <row r="42" spans="1:11" ht="14.5" x14ac:dyDescent="0.35">
      <c r="A42" s="3">
        <v>44002</v>
      </c>
      <c r="B42" s="4">
        <v>2020</v>
      </c>
      <c r="C42" s="4" t="s">
        <v>13</v>
      </c>
      <c r="D42" s="4" t="s">
        <v>16</v>
      </c>
      <c r="E42" s="5">
        <v>743.92</v>
      </c>
      <c r="F42" s="7">
        <v>95803</v>
      </c>
      <c r="G42" s="7">
        <v>1727</v>
      </c>
      <c r="H42" s="4">
        <v>20</v>
      </c>
      <c r="I42" s="5">
        <v>1539.55</v>
      </c>
      <c r="J42" s="6">
        <v>137</v>
      </c>
      <c r="K42" s="6">
        <v>176</v>
      </c>
    </row>
    <row r="43" spans="1:11" ht="14.5" x14ac:dyDescent="0.35">
      <c r="A43" s="3">
        <v>44002</v>
      </c>
      <c r="B43" s="4">
        <v>2020</v>
      </c>
      <c r="C43" s="4" t="s">
        <v>11</v>
      </c>
      <c r="D43" s="4" t="s">
        <v>15</v>
      </c>
      <c r="E43" s="5">
        <v>409.54</v>
      </c>
      <c r="F43" s="7">
        <v>11471</v>
      </c>
      <c r="G43" s="4">
        <v>781.94</v>
      </c>
      <c r="H43" s="7">
        <v>6505</v>
      </c>
      <c r="I43" s="5">
        <v>63588.959999999999</v>
      </c>
      <c r="J43" s="6">
        <v>361</v>
      </c>
      <c r="K43" s="6">
        <v>373</v>
      </c>
    </row>
    <row r="44" spans="1:11" ht="14.5" x14ac:dyDescent="0.35">
      <c r="A44" s="3">
        <v>44002</v>
      </c>
      <c r="B44" s="4">
        <v>2020</v>
      </c>
      <c r="C44" s="4" t="s">
        <v>13</v>
      </c>
      <c r="D44" s="4" t="s">
        <v>14</v>
      </c>
      <c r="E44" s="5">
        <v>35413.26</v>
      </c>
      <c r="F44" s="7">
        <v>1782888</v>
      </c>
      <c r="G44" s="7">
        <v>31608</v>
      </c>
      <c r="H44" s="7">
        <v>1285</v>
      </c>
      <c r="I44" s="5">
        <v>113649.05</v>
      </c>
      <c r="J44" s="8">
        <v>1309</v>
      </c>
      <c r="K44" s="8">
        <v>2227</v>
      </c>
    </row>
    <row r="45" spans="1:11" ht="14.5" x14ac:dyDescent="0.35">
      <c r="A45" s="3">
        <v>44009</v>
      </c>
      <c r="B45" s="4">
        <v>2020</v>
      </c>
      <c r="C45" s="4" t="s">
        <v>11</v>
      </c>
      <c r="D45" s="4" t="s">
        <v>12</v>
      </c>
      <c r="E45" s="5">
        <v>146.72</v>
      </c>
      <c r="F45" s="7">
        <v>4670</v>
      </c>
      <c r="G45" s="4">
        <v>1.35</v>
      </c>
      <c r="H45" s="4">
        <v>197</v>
      </c>
      <c r="I45" s="5">
        <v>94.76</v>
      </c>
      <c r="J45" s="6">
        <v>187</v>
      </c>
      <c r="K45" s="6">
        <v>199</v>
      </c>
    </row>
    <row r="46" spans="1:11" ht="14.5" x14ac:dyDescent="0.35">
      <c r="A46" s="3">
        <v>44009</v>
      </c>
      <c r="B46" s="4">
        <v>2020</v>
      </c>
      <c r="C46" s="4" t="s">
        <v>11</v>
      </c>
      <c r="D46" s="4" t="s">
        <v>15</v>
      </c>
      <c r="E46" s="5">
        <v>617.64</v>
      </c>
      <c r="F46" s="7">
        <v>5384</v>
      </c>
      <c r="G46" s="4">
        <v>39.5</v>
      </c>
      <c r="H46" s="4">
        <v>582</v>
      </c>
      <c r="I46" s="5">
        <v>4586.04</v>
      </c>
      <c r="J46" s="6">
        <v>397</v>
      </c>
      <c r="K46" s="6">
        <v>409</v>
      </c>
    </row>
    <row r="47" spans="1:11" ht="14.5" x14ac:dyDescent="0.35">
      <c r="A47" s="3">
        <v>44009</v>
      </c>
      <c r="B47" s="4">
        <v>2020</v>
      </c>
      <c r="C47" s="4" t="s">
        <v>13</v>
      </c>
      <c r="D47" s="4" t="s">
        <v>16</v>
      </c>
      <c r="E47" s="5">
        <v>961.44</v>
      </c>
      <c r="F47" s="7">
        <v>156076</v>
      </c>
      <c r="G47" s="7">
        <v>1831</v>
      </c>
      <c r="H47" s="4">
        <v>70</v>
      </c>
      <c r="I47" s="5">
        <v>6430.54</v>
      </c>
      <c r="J47" s="6">
        <v>201</v>
      </c>
      <c r="K47" s="6">
        <v>288</v>
      </c>
    </row>
    <row r="48" spans="1:11" ht="14.5" x14ac:dyDescent="0.35">
      <c r="A48" s="3">
        <v>44009</v>
      </c>
      <c r="B48" s="4">
        <v>2020</v>
      </c>
      <c r="C48" s="4" t="s">
        <v>13</v>
      </c>
      <c r="D48" s="4" t="s">
        <v>14</v>
      </c>
      <c r="E48" s="5">
        <v>53858.96</v>
      </c>
      <c r="F48" s="7">
        <v>2825343</v>
      </c>
      <c r="G48" s="7">
        <v>44860</v>
      </c>
      <c r="H48" s="7">
        <v>1530</v>
      </c>
      <c r="I48" s="5">
        <v>147697.68</v>
      </c>
      <c r="J48" s="8">
        <v>1521</v>
      </c>
      <c r="K48" s="8">
        <v>2598</v>
      </c>
    </row>
    <row r="49" spans="1:11" ht="14.5" x14ac:dyDescent="0.35">
      <c r="A49" s="3">
        <v>44016</v>
      </c>
      <c r="B49" s="4">
        <v>2020</v>
      </c>
      <c r="C49" s="4" t="s">
        <v>11</v>
      </c>
      <c r="D49" s="4" t="s">
        <v>12</v>
      </c>
      <c r="E49" s="5">
        <v>146.82</v>
      </c>
      <c r="F49" s="7">
        <v>5998</v>
      </c>
      <c r="G49" s="4">
        <v>1.21</v>
      </c>
      <c r="H49" s="4">
        <v>229</v>
      </c>
      <c r="I49" s="5">
        <v>267.8</v>
      </c>
      <c r="J49" s="6">
        <v>193</v>
      </c>
      <c r="K49" s="6">
        <v>205</v>
      </c>
    </row>
    <row r="50" spans="1:11" ht="14.5" x14ac:dyDescent="0.35">
      <c r="A50" s="3">
        <v>44016</v>
      </c>
      <c r="B50" s="4">
        <v>2020</v>
      </c>
      <c r="C50" s="4" t="s">
        <v>13</v>
      </c>
      <c r="D50" s="4" t="s">
        <v>16</v>
      </c>
      <c r="E50" s="5">
        <v>963.6</v>
      </c>
      <c r="F50" s="7">
        <v>92332</v>
      </c>
      <c r="G50" s="7">
        <v>1303</v>
      </c>
      <c r="H50" s="4">
        <v>46</v>
      </c>
      <c r="I50" s="5">
        <v>3607.73</v>
      </c>
      <c r="J50" s="6">
        <v>205</v>
      </c>
      <c r="K50" s="6">
        <v>295</v>
      </c>
    </row>
    <row r="51" spans="1:11" ht="14.5" x14ac:dyDescent="0.35">
      <c r="A51" s="3">
        <v>44016</v>
      </c>
      <c r="B51" s="4">
        <v>2020</v>
      </c>
      <c r="C51" s="4" t="s">
        <v>11</v>
      </c>
      <c r="D51" s="4" t="s">
        <v>15</v>
      </c>
      <c r="E51" s="5">
        <v>1311.42</v>
      </c>
      <c r="F51" s="7">
        <v>9865</v>
      </c>
      <c r="G51" s="4">
        <v>215.53</v>
      </c>
      <c r="H51" s="7">
        <v>2445</v>
      </c>
      <c r="I51" s="5">
        <v>21917.07</v>
      </c>
      <c r="J51" s="6">
        <v>517</v>
      </c>
      <c r="K51" s="6">
        <v>529</v>
      </c>
    </row>
    <row r="52" spans="1:11" ht="14.5" x14ac:dyDescent="0.35">
      <c r="A52" s="3">
        <v>44016</v>
      </c>
      <c r="B52" s="4">
        <v>2020</v>
      </c>
      <c r="C52" s="4" t="s">
        <v>13</v>
      </c>
      <c r="D52" s="4" t="s">
        <v>14</v>
      </c>
      <c r="E52" s="5">
        <v>63730.22</v>
      </c>
      <c r="F52" s="7">
        <v>2827519</v>
      </c>
      <c r="G52" s="7">
        <v>54673</v>
      </c>
      <c r="H52" s="7">
        <v>4772</v>
      </c>
      <c r="I52" s="5">
        <v>457038.37</v>
      </c>
      <c r="J52" s="8">
        <v>1613</v>
      </c>
      <c r="K52" s="8">
        <v>2759</v>
      </c>
    </row>
    <row r="53" spans="1:11" ht="14.5" x14ac:dyDescent="0.35">
      <c r="A53" s="3">
        <v>44023</v>
      </c>
      <c r="B53" s="4">
        <v>2020</v>
      </c>
      <c r="C53" s="4" t="s">
        <v>11</v>
      </c>
      <c r="D53" s="4" t="s">
        <v>12</v>
      </c>
      <c r="E53" s="5">
        <v>147.84</v>
      </c>
      <c r="F53" s="7">
        <v>2476</v>
      </c>
      <c r="G53" s="4">
        <v>3</v>
      </c>
      <c r="H53" s="4">
        <v>112</v>
      </c>
      <c r="I53" s="5">
        <v>328.98</v>
      </c>
      <c r="J53" s="6">
        <v>199</v>
      </c>
      <c r="K53" s="6">
        <v>211</v>
      </c>
    </row>
    <row r="54" spans="1:11" ht="14.5" x14ac:dyDescent="0.35">
      <c r="A54" s="3">
        <v>44023</v>
      </c>
      <c r="B54" s="4">
        <v>2020</v>
      </c>
      <c r="C54" s="4" t="s">
        <v>13</v>
      </c>
      <c r="D54" s="4" t="s">
        <v>16</v>
      </c>
      <c r="E54" s="5">
        <v>1375.5</v>
      </c>
      <c r="F54" s="7">
        <v>195622</v>
      </c>
      <c r="G54" s="7">
        <v>6067</v>
      </c>
      <c r="H54" s="4">
        <v>270</v>
      </c>
      <c r="I54" s="5">
        <v>22356.21</v>
      </c>
      <c r="J54" s="6">
        <v>289</v>
      </c>
      <c r="K54" s="6">
        <v>442</v>
      </c>
    </row>
    <row r="55" spans="1:11" ht="14.5" x14ac:dyDescent="0.35">
      <c r="A55" s="3">
        <v>44023</v>
      </c>
      <c r="B55" s="4">
        <v>2020</v>
      </c>
      <c r="C55" s="4" t="s">
        <v>11</v>
      </c>
      <c r="D55" s="4" t="s">
        <v>15</v>
      </c>
      <c r="E55" s="5">
        <v>1335.67</v>
      </c>
      <c r="F55" s="7">
        <v>3060</v>
      </c>
      <c r="G55" s="4">
        <v>321.18</v>
      </c>
      <c r="H55" s="7">
        <v>1202</v>
      </c>
      <c r="I55" s="5">
        <v>28635.06</v>
      </c>
      <c r="J55" s="6">
        <v>535</v>
      </c>
      <c r="K55" s="6">
        <v>547</v>
      </c>
    </row>
    <row r="56" spans="1:11" ht="14.5" x14ac:dyDescent="0.35">
      <c r="A56" s="3">
        <v>44023</v>
      </c>
      <c r="B56" s="4">
        <v>2020</v>
      </c>
      <c r="C56" s="4" t="s">
        <v>13</v>
      </c>
      <c r="D56" s="4" t="s">
        <v>14</v>
      </c>
      <c r="E56" s="5">
        <v>109638.25</v>
      </c>
      <c r="F56" s="7">
        <v>4898052</v>
      </c>
      <c r="G56" s="7">
        <v>98526</v>
      </c>
      <c r="H56" s="7">
        <v>3804</v>
      </c>
      <c r="I56" s="5">
        <v>355448.85</v>
      </c>
      <c r="J56" s="8">
        <v>1801</v>
      </c>
      <c r="K56" s="8">
        <v>3088</v>
      </c>
    </row>
    <row r="57" spans="1:11" ht="14.5" x14ac:dyDescent="0.35">
      <c r="A57" s="3">
        <v>44030</v>
      </c>
      <c r="B57" s="4">
        <v>2020</v>
      </c>
      <c r="C57" s="4" t="s">
        <v>11</v>
      </c>
      <c r="D57" s="4" t="s">
        <v>12</v>
      </c>
      <c r="E57" s="5">
        <v>148.34</v>
      </c>
      <c r="F57" s="7">
        <v>2478</v>
      </c>
      <c r="G57" s="4">
        <v>0</v>
      </c>
      <c r="H57" s="4">
        <v>137</v>
      </c>
      <c r="I57" s="5">
        <v>0</v>
      </c>
      <c r="J57" s="6">
        <v>0</v>
      </c>
      <c r="K57" s="6">
        <v>217</v>
      </c>
    </row>
    <row r="58" spans="1:11" ht="14.5" x14ac:dyDescent="0.35">
      <c r="A58" s="3">
        <v>44030</v>
      </c>
      <c r="B58" s="4">
        <v>2020</v>
      </c>
      <c r="C58" s="4" t="s">
        <v>13</v>
      </c>
      <c r="D58" s="4" t="s">
        <v>16</v>
      </c>
      <c r="E58" s="5">
        <v>4273.17</v>
      </c>
      <c r="F58" s="7">
        <v>264939</v>
      </c>
      <c r="G58" s="7">
        <v>3597</v>
      </c>
      <c r="H58" s="4">
        <v>146</v>
      </c>
      <c r="I58" s="5">
        <v>13384.48</v>
      </c>
      <c r="J58" s="6">
        <v>477</v>
      </c>
      <c r="K58" s="6">
        <v>771</v>
      </c>
    </row>
    <row r="59" spans="1:11" ht="14.5" x14ac:dyDescent="0.35">
      <c r="A59" s="3">
        <v>44030</v>
      </c>
      <c r="B59" s="4">
        <v>2020</v>
      </c>
      <c r="C59" s="4" t="s">
        <v>11</v>
      </c>
      <c r="D59" s="4" t="s">
        <v>15</v>
      </c>
      <c r="E59" s="5">
        <v>2288.94</v>
      </c>
      <c r="F59" s="7">
        <v>19653</v>
      </c>
      <c r="G59" s="4">
        <v>190.8</v>
      </c>
      <c r="H59" s="7">
        <v>6008</v>
      </c>
      <c r="I59" s="5">
        <v>19297.759999999998</v>
      </c>
      <c r="J59" s="6">
        <v>613</v>
      </c>
      <c r="K59" s="6">
        <v>625</v>
      </c>
    </row>
    <row r="60" spans="1:11" ht="14.5" x14ac:dyDescent="0.35">
      <c r="A60" s="3">
        <v>44030</v>
      </c>
      <c r="B60" s="4">
        <v>2020</v>
      </c>
      <c r="C60" s="4" t="s">
        <v>13</v>
      </c>
      <c r="D60" s="4" t="s">
        <v>14</v>
      </c>
      <c r="E60" s="5">
        <v>191126.65</v>
      </c>
      <c r="F60" s="7">
        <v>5061637</v>
      </c>
      <c r="G60" s="7">
        <v>104036</v>
      </c>
      <c r="H60" s="7">
        <v>5041</v>
      </c>
      <c r="I60" s="5">
        <v>529718.06999999995</v>
      </c>
      <c r="J60" s="8">
        <v>1993</v>
      </c>
      <c r="K60" s="8">
        <v>3424</v>
      </c>
    </row>
    <row r="61" spans="1:11" ht="14.5" x14ac:dyDescent="0.35">
      <c r="A61" s="3">
        <v>44037</v>
      </c>
      <c r="B61" s="4">
        <v>2020</v>
      </c>
      <c r="C61" s="4" t="s">
        <v>13</v>
      </c>
      <c r="D61" s="4" t="s">
        <v>14</v>
      </c>
      <c r="E61" s="5">
        <v>458209.74</v>
      </c>
      <c r="F61" s="7">
        <v>26881320</v>
      </c>
      <c r="G61" s="7">
        <v>728216</v>
      </c>
      <c r="H61" s="7">
        <v>57392</v>
      </c>
      <c r="I61" s="5">
        <v>4989537.58</v>
      </c>
      <c r="J61" s="8">
        <v>2061</v>
      </c>
      <c r="K61" s="8">
        <v>3543</v>
      </c>
    </row>
    <row r="62" spans="1:11" ht="14.5" x14ac:dyDescent="0.35">
      <c r="A62" s="3">
        <v>44037</v>
      </c>
      <c r="B62" s="4">
        <v>2020</v>
      </c>
      <c r="C62" s="4" t="s">
        <v>11</v>
      </c>
      <c r="D62" s="4" t="s">
        <v>12</v>
      </c>
      <c r="E62" s="5">
        <v>148.38</v>
      </c>
      <c r="F62" s="7">
        <v>5479</v>
      </c>
      <c r="G62" s="4">
        <v>4.0199999999999996</v>
      </c>
      <c r="H62" s="4">
        <v>174</v>
      </c>
      <c r="I62" s="5">
        <v>244.48</v>
      </c>
      <c r="J62" s="6">
        <v>211</v>
      </c>
      <c r="K62" s="6">
        <v>223</v>
      </c>
    </row>
    <row r="63" spans="1:11" ht="14.5" x14ac:dyDescent="0.35">
      <c r="A63" s="3">
        <v>44037</v>
      </c>
      <c r="B63" s="4">
        <v>2020</v>
      </c>
      <c r="C63" s="4" t="s">
        <v>11</v>
      </c>
      <c r="D63" s="4" t="s">
        <v>15</v>
      </c>
      <c r="E63" s="5">
        <v>2796.58</v>
      </c>
      <c r="F63" s="7">
        <v>15302</v>
      </c>
      <c r="G63" s="4">
        <v>75.319999999999993</v>
      </c>
      <c r="H63" s="7">
        <v>2212</v>
      </c>
      <c r="I63" s="5">
        <v>7385.96</v>
      </c>
      <c r="J63" s="6">
        <v>655</v>
      </c>
      <c r="K63" s="6">
        <v>667</v>
      </c>
    </row>
    <row r="64" spans="1:11" ht="14.5" x14ac:dyDescent="0.35">
      <c r="A64" s="3">
        <v>44037</v>
      </c>
      <c r="B64" s="4">
        <v>2020</v>
      </c>
      <c r="C64" s="4" t="s">
        <v>13</v>
      </c>
      <c r="D64" s="4" t="s">
        <v>16</v>
      </c>
      <c r="E64" s="5">
        <v>6187.34</v>
      </c>
      <c r="F64" s="7">
        <v>590672</v>
      </c>
      <c r="G64" s="7">
        <v>8408</v>
      </c>
      <c r="H64" s="4">
        <v>192</v>
      </c>
      <c r="I64" s="5">
        <v>10134.92</v>
      </c>
      <c r="J64" s="6">
        <v>561</v>
      </c>
      <c r="K64" s="6">
        <v>918</v>
      </c>
    </row>
    <row r="65" spans="1:11" ht="14.5" x14ac:dyDescent="0.35">
      <c r="A65" s="3">
        <v>44044</v>
      </c>
      <c r="B65" s="4">
        <v>2020</v>
      </c>
      <c r="C65" s="4" t="s">
        <v>13</v>
      </c>
      <c r="D65" s="4" t="s">
        <v>14</v>
      </c>
      <c r="E65" s="5">
        <v>508840.7</v>
      </c>
      <c r="F65" s="7">
        <v>29858257</v>
      </c>
      <c r="G65" s="7">
        <v>599931</v>
      </c>
      <c r="H65" s="7">
        <v>40618</v>
      </c>
      <c r="I65" s="5">
        <v>3205375.84</v>
      </c>
      <c r="J65" s="8">
        <v>2069</v>
      </c>
      <c r="K65" s="8">
        <v>3557</v>
      </c>
    </row>
    <row r="66" spans="1:11" ht="14.5" x14ac:dyDescent="0.35">
      <c r="A66" s="3">
        <v>44044</v>
      </c>
      <c r="B66" s="4">
        <v>2020</v>
      </c>
      <c r="C66" s="4" t="s">
        <v>11</v>
      </c>
      <c r="D66" s="4" t="s">
        <v>12</v>
      </c>
      <c r="E66" s="5">
        <v>148.88999999999999</v>
      </c>
      <c r="F66" s="7">
        <v>2641</v>
      </c>
      <c r="G66" s="4">
        <v>0</v>
      </c>
      <c r="H66" s="4">
        <v>132</v>
      </c>
      <c r="I66" s="5">
        <v>0</v>
      </c>
      <c r="J66" s="6">
        <v>0</v>
      </c>
      <c r="K66" s="6">
        <v>229</v>
      </c>
    </row>
    <row r="67" spans="1:11" ht="14.5" x14ac:dyDescent="0.35">
      <c r="A67" s="3">
        <v>44044</v>
      </c>
      <c r="B67" s="4">
        <v>2020</v>
      </c>
      <c r="C67" s="4" t="s">
        <v>13</v>
      </c>
      <c r="D67" s="4" t="s">
        <v>16</v>
      </c>
      <c r="E67" s="5">
        <v>6561.15</v>
      </c>
      <c r="F67" s="7">
        <v>804048</v>
      </c>
      <c r="G67" s="7">
        <v>27436</v>
      </c>
      <c r="H67" s="4">
        <v>452</v>
      </c>
      <c r="I67" s="5">
        <v>33484.49</v>
      </c>
      <c r="J67" s="6">
        <v>585</v>
      </c>
      <c r="K67" s="6">
        <v>960</v>
      </c>
    </row>
    <row r="68" spans="1:11" ht="14.5" x14ac:dyDescent="0.35">
      <c r="A68" s="3">
        <v>44044</v>
      </c>
      <c r="B68" s="4">
        <v>2020</v>
      </c>
      <c r="C68" s="4" t="s">
        <v>11</v>
      </c>
      <c r="D68" s="4" t="s">
        <v>15</v>
      </c>
      <c r="E68" s="5">
        <v>3845.67</v>
      </c>
      <c r="F68" s="7">
        <v>76998</v>
      </c>
      <c r="G68" s="9">
        <v>1590.62</v>
      </c>
      <c r="H68" s="7">
        <v>21896</v>
      </c>
      <c r="I68" s="5">
        <v>125219.21</v>
      </c>
      <c r="J68" s="6">
        <v>715</v>
      </c>
      <c r="K68" s="6">
        <v>727</v>
      </c>
    </row>
    <row r="69" spans="1:11" ht="14.5" x14ac:dyDescent="0.35">
      <c r="A69" s="3">
        <v>44051</v>
      </c>
      <c r="B69" s="4">
        <v>2020</v>
      </c>
      <c r="C69" s="4" t="s">
        <v>13</v>
      </c>
      <c r="D69" s="4" t="s">
        <v>14</v>
      </c>
      <c r="E69" s="5">
        <v>660254.23</v>
      </c>
      <c r="F69" s="7">
        <v>37355388</v>
      </c>
      <c r="G69" s="7">
        <v>804789</v>
      </c>
      <c r="H69" s="7">
        <v>54948</v>
      </c>
      <c r="I69" s="5">
        <v>5898736.5800000001</v>
      </c>
      <c r="J69" s="8">
        <v>2085</v>
      </c>
      <c r="K69" s="8">
        <v>3585</v>
      </c>
    </row>
    <row r="70" spans="1:11" ht="14.5" x14ac:dyDescent="0.35">
      <c r="A70" s="3">
        <v>44051</v>
      </c>
      <c r="B70" s="4">
        <v>2020</v>
      </c>
      <c r="C70" s="4" t="s">
        <v>11</v>
      </c>
      <c r="D70" s="4" t="s">
        <v>12</v>
      </c>
      <c r="E70" s="5">
        <v>149.59</v>
      </c>
      <c r="F70" s="7">
        <v>9297</v>
      </c>
      <c r="G70" s="4">
        <v>2.91</v>
      </c>
      <c r="H70" s="4">
        <v>203</v>
      </c>
      <c r="I70" s="5">
        <v>373.91</v>
      </c>
      <c r="J70" s="6">
        <v>223</v>
      </c>
      <c r="K70" s="6">
        <v>235</v>
      </c>
    </row>
    <row r="71" spans="1:11" ht="14.5" x14ac:dyDescent="0.35">
      <c r="A71" s="3">
        <v>44051</v>
      </c>
      <c r="B71" s="4">
        <v>2020</v>
      </c>
      <c r="C71" s="4" t="s">
        <v>13</v>
      </c>
      <c r="D71" s="4" t="s">
        <v>16</v>
      </c>
      <c r="E71" s="5">
        <v>11456.07</v>
      </c>
      <c r="F71" s="7">
        <v>4007037</v>
      </c>
      <c r="G71" s="7">
        <v>6285</v>
      </c>
      <c r="H71" s="4">
        <v>92</v>
      </c>
      <c r="I71" s="5">
        <v>8184.74</v>
      </c>
      <c r="J71" s="6">
        <v>789</v>
      </c>
      <c r="K71" s="8">
        <v>1317</v>
      </c>
    </row>
    <row r="72" spans="1:11" ht="14.5" x14ac:dyDescent="0.35">
      <c r="A72" s="3">
        <v>44051</v>
      </c>
      <c r="B72" s="4">
        <v>2020</v>
      </c>
      <c r="C72" s="4" t="s">
        <v>11</v>
      </c>
      <c r="D72" s="4" t="s">
        <v>15</v>
      </c>
      <c r="E72" s="5">
        <v>3853.66</v>
      </c>
      <c r="F72" s="7">
        <v>12538</v>
      </c>
      <c r="G72" s="4">
        <v>161.93</v>
      </c>
      <c r="H72" s="7">
        <v>1573</v>
      </c>
      <c r="I72" s="5">
        <v>16753.59</v>
      </c>
      <c r="J72" s="6">
        <v>721</v>
      </c>
      <c r="K72" s="6">
        <v>733</v>
      </c>
    </row>
    <row r="73" spans="1:11" ht="14.5" x14ac:dyDescent="0.35">
      <c r="A73" s="3">
        <v>44058</v>
      </c>
      <c r="B73" s="4">
        <v>2020</v>
      </c>
      <c r="C73" s="4" t="s">
        <v>13</v>
      </c>
      <c r="D73" s="4" t="s">
        <v>14</v>
      </c>
      <c r="E73" s="5">
        <v>882948.39</v>
      </c>
      <c r="F73" s="7">
        <v>41842927</v>
      </c>
      <c r="G73" s="7">
        <v>910708</v>
      </c>
      <c r="H73" s="7">
        <v>71573</v>
      </c>
      <c r="I73" s="5">
        <v>6835847.5800000001</v>
      </c>
      <c r="J73" s="8">
        <v>2109</v>
      </c>
      <c r="K73" s="8">
        <v>3627</v>
      </c>
    </row>
    <row r="74" spans="1:11" ht="14.5" x14ac:dyDescent="0.35">
      <c r="A74" s="3">
        <v>44058</v>
      </c>
      <c r="B74" s="4">
        <v>2020</v>
      </c>
      <c r="C74" s="4" t="s">
        <v>11</v>
      </c>
      <c r="D74" s="4" t="s">
        <v>12</v>
      </c>
      <c r="E74" s="5">
        <v>150.66</v>
      </c>
      <c r="F74" s="7">
        <v>3468</v>
      </c>
      <c r="G74" s="4">
        <v>1</v>
      </c>
      <c r="H74" s="4">
        <v>127</v>
      </c>
      <c r="I74" s="5">
        <v>71.69</v>
      </c>
      <c r="J74" s="6">
        <v>229</v>
      </c>
      <c r="K74" s="6">
        <v>241</v>
      </c>
    </row>
    <row r="75" spans="1:11" ht="14.5" x14ac:dyDescent="0.35">
      <c r="A75" s="3">
        <v>44058</v>
      </c>
      <c r="B75" s="4">
        <v>2020</v>
      </c>
      <c r="C75" s="4" t="s">
        <v>11</v>
      </c>
      <c r="D75" s="4" t="s">
        <v>15</v>
      </c>
      <c r="E75" s="5">
        <v>3969.97</v>
      </c>
      <c r="F75" s="7">
        <v>30687</v>
      </c>
      <c r="G75" s="4">
        <v>195.66</v>
      </c>
      <c r="H75" s="7">
        <v>5961</v>
      </c>
      <c r="I75" s="5">
        <v>18738.580000000002</v>
      </c>
      <c r="J75" s="6">
        <v>727</v>
      </c>
      <c r="K75" s="6">
        <v>739</v>
      </c>
    </row>
    <row r="76" spans="1:11" ht="14.5" x14ac:dyDescent="0.35">
      <c r="A76" s="3">
        <v>44058</v>
      </c>
      <c r="B76" s="4">
        <v>2020</v>
      </c>
      <c r="C76" s="4" t="s">
        <v>13</v>
      </c>
      <c r="D76" s="4" t="s">
        <v>16</v>
      </c>
      <c r="E76" s="5">
        <v>14591.63</v>
      </c>
      <c r="F76" s="7">
        <v>1278208</v>
      </c>
      <c r="G76" s="7">
        <v>22781</v>
      </c>
      <c r="H76" s="4">
        <v>758</v>
      </c>
      <c r="I76" s="5">
        <v>64228.03</v>
      </c>
      <c r="J76" s="6">
        <v>905</v>
      </c>
      <c r="K76" s="8">
        <v>1520</v>
      </c>
    </row>
    <row r="77" spans="1:11" ht="14.5" x14ac:dyDescent="0.35">
      <c r="A77" s="3">
        <v>44065</v>
      </c>
      <c r="B77" s="4">
        <v>2020</v>
      </c>
      <c r="C77" s="4" t="s">
        <v>11</v>
      </c>
      <c r="D77" s="4" t="s">
        <v>12</v>
      </c>
      <c r="E77" s="5">
        <v>155.35</v>
      </c>
      <c r="F77" s="7">
        <v>2759</v>
      </c>
      <c r="G77" s="4">
        <v>2.5</v>
      </c>
      <c r="H77" s="4">
        <v>128</v>
      </c>
      <c r="I77" s="5">
        <v>642.12</v>
      </c>
      <c r="J77" s="6">
        <v>235</v>
      </c>
      <c r="K77" s="6">
        <v>247</v>
      </c>
    </row>
    <row r="78" spans="1:11" ht="14.5" x14ac:dyDescent="0.35">
      <c r="A78" s="3">
        <v>44065</v>
      </c>
      <c r="B78" s="4">
        <v>2020</v>
      </c>
      <c r="C78" s="4" t="s">
        <v>11</v>
      </c>
      <c r="D78" s="4" t="s">
        <v>15</v>
      </c>
      <c r="E78" s="5">
        <v>5154.26</v>
      </c>
      <c r="F78" s="7">
        <v>30174</v>
      </c>
      <c r="G78" s="4">
        <v>330.31</v>
      </c>
      <c r="H78" s="7">
        <v>4895</v>
      </c>
      <c r="I78" s="5">
        <v>30384.65</v>
      </c>
      <c r="J78" s="6">
        <v>769</v>
      </c>
      <c r="K78" s="6">
        <v>781</v>
      </c>
    </row>
    <row r="79" spans="1:11" ht="14.5" x14ac:dyDescent="0.35">
      <c r="A79" s="3">
        <v>44065</v>
      </c>
      <c r="B79" s="4">
        <v>2020</v>
      </c>
      <c r="C79" s="4" t="s">
        <v>13</v>
      </c>
      <c r="D79" s="4" t="s">
        <v>16</v>
      </c>
      <c r="E79" s="5">
        <v>19186.43</v>
      </c>
      <c r="F79" s="7">
        <v>2153086</v>
      </c>
      <c r="G79" s="7">
        <v>31366</v>
      </c>
      <c r="H79" s="4">
        <v>592</v>
      </c>
      <c r="I79" s="5">
        <v>46166.720000000001</v>
      </c>
      <c r="J79" s="8">
        <v>1005</v>
      </c>
      <c r="K79" s="8">
        <v>1695</v>
      </c>
    </row>
    <row r="80" spans="1:11" ht="14.5" x14ac:dyDescent="0.35">
      <c r="A80" s="3">
        <v>44072</v>
      </c>
      <c r="B80" s="4">
        <v>2020</v>
      </c>
      <c r="C80" s="4" t="s">
        <v>11</v>
      </c>
      <c r="D80" s="4" t="s">
        <v>12</v>
      </c>
      <c r="E80" s="5">
        <v>165.05</v>
      </c>
      <c r="F80" s="7">
        <v>5631</v>
      </c>
      <c r="G80" s="4">
        <v>1</v>
      </c>
      <c r="H80" s="4">
        <v>228</v>
      </c>
      <c r="I80" s="5">
        <v>135</v>
      </c>
      <c r="J80" s="6">
        <v>241</v>
      </c>
      <c r="K80" s="6">
        <v>253</v>
      </c>
    </row>
    <row r="81" spans="1:11" ht="14.5" x14ac:dyDescent="0.35">
      <c r="A81" s="3">
        <v>44072</v>
      </c>
      <c r="B81" s="4">
        <v>2020</v>
      </c>
      <c r="C81" s="4" t="s">
        <v>11</v>
      </c>
      <c r="D81" s="4" t="s">
        <v>15</v>
      </c>
      <c r="E81" s="5">
        <v>5738.6</v>
      </c>
      <c r="F81" s="7">
        <v>26812</v>
      </c>
      <c r="G81" s="4">
        <v>383.37</v>
      </c>
      <c r="H81" s="7">
        <v>7201</v>
      </c>
      <c r="I81" s="5">
        <v>34289.71</v>
      </c>
      <c r="J81" s="6">
        <v>805</v>
      </c>
      <c r="K81" s="6">
        <v>817</v>
      </c>
    </row>
    <row r="82" spans="1:11" ht="14.5" x14ac:dyDescent="0.35">
      <c r="A82" s="3">
        <v>44072</v>
      </c>
      <c r="B82" s="4">
        <v>2020</v>
      </c>
      <c r="C82" s="4" t="s">
        <v>13</v>
      </c>
      <c r="D82" s="4" t="s">
        <v>16</v>
      </c>
      <c r="E82" s="5">
        <v>20909.22</v>
      </c>
      <c r="F82" s="7">
        <v>7690339</v>
      </c>
      <c r="G82" s="7">
        <v>9021</v>
      </c>
      <c r="H82" s="4">
        <v>463</v>
      </c>
      <c r="I82" s="5">
        <v>39317.17</v>
      </c>
      <c r="J82" s="8">
        <v>1033</v>
      </c>
      <c r="K82" s="8">
        <v>1744</v>
      </c>
    </row>
    <row r="83" spans="1:11" ht="14.5" x14ac:dyDescent="0.35">
      <c r="A83" s="3">
        <v>44079</v>
      </c>
      <c r="B83" s="4">
        <v>2020</v>
      </c>
      <c r="C83" s="4" t="s">
        <v>11</v>
      </c>
      <c r="D83" s="4" t="s">
        <v>12</v>
      </c>
      <c r="E83" s="5">
        <v>171.79</v>
      </c>
      <c r="F83" s="7">
        <v>3068</v>
      </c>
      <c r="G83" s="4">
        <v>8.2200000000000006</v>
      </c>
      <c r="H83" s="4">
        <v>142</v>
      </c>
      <c r="I83" s="5">
        <v>781.67</v>
      </c>
      <c r="J83" s="6">
        <v>253</v>
      </c>
      <c r="K83" s="6">
        <v>265</v>
      </c>
    </row>
    <row r="84" spans="1:11" ht="14.5" x14ac:dyDescent="0.35">
      <c r="A84" s="3">
        <v>44079</v>
      </c>
      <c r="B84" s="4">
        <v>2020</v>
      </c>
      <c r="C84" s="4" t="s">
        <v>11</v>
      </c>
      <c r="D84" s="4" t="s">
        <v>15</v>
      </c>
      <c r="E84" s="5">
        <v>6125.2</v>
      </c>
      <c r="F84" s="7">
        <v>33334</v>
      </c>
      <c r="G84" s="4">
        <v>214.89</v>
      </c>
      <c r="H84" s="7">
        <v>7198</v>
      </c>
      <c r="I84" s="5">
        <v>18467.68</v>
      </c>
      <c r="J84" s="6">
        <v>811</v>
      </c>
      <c r="K84" s="6">
        <v>823</v>
      </c>
    </row>
    <row r="85" spans="1:11" ht="14.5" x14ac:dyDescent="0.35">
      <c r="A85" s="3">
        <v>44079</v>
      </c>
      <c r="B85" s="4">
        <v>2020</v>
      </c>
      <c r="C85" s="4" t="s">
        <v>13</v>
      </c>
      <c r="D85" s="4" t="s">
        <v>16</v>
      </c>
      <c r="E85" s="5">
        <v>21937.51</v>
      </c>
      <c r="F85" s="7">
        <v>1957667</v>
      </c>
      <c r="G85" s="7">
        <v>41889</v>
      </c>
      <c r="H85" s="7">
        <v>1170</v>
      </c>
      <c r="I85" s="5">
        <v>79795.38</v>
      </c>
      <c r="J85" s="8">
        <v>1053</v>
      </c>
      <c r="K85" s="8">
        <v>1779</v>
      </c>
    </row>
    <row r="86" spans="1:11" ht="14.5" x14ac:dyDescent="0.35">
      <c r="A86" s="3">
        <v>44086</v>
      </c>
      <c r="B86" s="4">
        <v>2020</v>
      </c>
      <c r="C86" s="4" t="s">
        <v>11</v>
      </c>
      <c r="D86" s="4" t="s">
        <v>12</v>
      </c>
      <c r="E86" s="5">
        <v>173.28</v>
      </c>
      <c r="F86" s="7">
        <v>1855</v>
      </c>
      <c r="G86" s="4">
        <v>11.5</v>
      </c>
      <c r="H86" s="4">
        <v>158</v>
      </c>
      <c r="I86" s="5">
        <v>723.93</v>
      </c>
      <c r="J86" s="6">
        <v>259</v>
      </c>
      <c r="K86" s="6">
        <v>271</v>
      </c>
    </row>
    <row r="87" spans="1:11" ht="14.5" x14ac:dyDescent="0.35">
      <c r="A87" s="3">
        <v>44086</v>
      </c>
      <c r="B87" s="4">
        <v>2020</v>
      </c>
      <c r="C87" s="4" t="s">
        <v>13</v>
      </c>
      <c r="D87" s="4" t="s">
        <v>16</v>
      </c>
      <c r="E87" s="5">
        <v>30856.89</v>
      </c>
      <c r="F87" s="7">
        <v>2725199</v>
      </c>
      <c r="G87" s="7">
        <v>57876</v>
      </c>
      <c r="H87" s="4">
        <v>448</v>
      </c>
      <c r="I87" s="5">
        <v>39233.42</v>
      </c>
      <c r="J87" s="8">
        <v>1229</v>
      </c>
      <c r="K87" s="8">
        <v>2087</v>
      </c>
    </row>
    <row r="88" spans="1:11" ht="14.5" x14ac:dyDescent="0.35">
      <c r="A88" s="3">
        <v>44086</v>
      </c>
      <c r="B88" s="4">
        <v>2020</v>
      </c>
      <c r="C88" s="4" t="s">
        <v>11</v>
      </c>
      <c r="D88" s="4" t="s">
        <v>15</v>
      </c>
      <c r="E88" s="5">
        <v>6303.86</v>
      </c>
      <c r="F88" s="7">
        <v>29850</v>
      </c>
      <c r="G88" s="4">
        <v>993.85</v>
      </c>
      <c r="H88" s="7">
        <v>8866</v>
      </c>
      <c r="I88" s="5">
        <v>95678.19</v>
      </c>
      <c r="J88" s="6">
        <v>817</v>
      </c>
      <c r="K88" s="6">
        <v>829</v>
      </c>
    </row>
    <row r="89" spans="1:11" ht="14.5" x14ac:dyDescent="0.35">
      <c r="A89" s="3">
        <v>44093</v>
      </c>
      <c r="B89" s="4">
        <v>2020</v>
      </c>
      <c r="C89" s="4" t="s">
        <v>11</v>
      </c>
      <c r="D89" s="4" t="s">
        <v>12</v>
      </c>
      <c r="E89" s="5">
        <v>188.57</v>
      </c>
      <c r="F89" s="7">
        <v>2454</v>
      </c>
      <c r="G89" s="4">
        <v>7.97</v>
      </c>
      <c r="H89" s="4">
        <v>154</v>
      </c>
      <c r="I89" s="5">
        <v>399.91</v>
      </c>
      <c r="J89" s="6">
        <v>277</v>
      </c>
      <c r="K89" s="6">
        <v>289</v>
      </c>
    </row>
    <row r="90" spans="1:11" ht="14.5" x14ac:dyDescent="0.35">
      <c r="A90" s="3">
        <v>44093</v>
      </c>
      <c r="B90" s="4">
        <v>2020</v>
      </c>
      <c r="C90" s="4" t="s">
        <v>13</v>
      </c>
      <c r="D90" s="4" t="s">
        <v>16</v>
      </c>
      <c r="E90" s="5">
        <v>38286.339999999997</v>
      </c>
      <c r="F90" s="7">
        <v>2784755</v>
      </c>
      <c r="G90" s="7">
        <v>53184</v>
      </c>
      <c r="H90" s="4">
        <v>837</v>
      </c>
      <c r="I90" s="5">
        <v>65440.09</v>
      </c>
      <c r="J90" s="8">
        <v>1357</v>
      </c>
      <c r="K90" s="8">
        <v>2311</v>
      </c>
    </row>
    <row r="91" spans="1:11" ht="14.5" x14ac:dyDescent="0.35">
      <c r="A91" s="3">
        <v>44093</v>
      </c>
      <c r="B91" s="4">
        <v>2020</v>
      </c>
      <c r="C91" s="4" t="s">
        <v>11</v>
      </c>
      <c r="D91" s="4" t="s">
        <v>15</v>
      </c>
      <c r="E91" s="5">
        <v>7282.66</v>
      </c>
      <c r="F91" s="7">
        <v>20671</v>
      </c>
      <c r="G91" s="4">
        <v>650.29</v>
      </c>
      <c r="H91" s="7">
        <v>4094</v>
      </c>
      <c r="I91" s="5">
        <v>65893.14</v>
      </c>
      <c r="J91" s="6">
        <v>847</v>
      </c>
      <c r="K91" s="6">
        <v>859</v>
      </c>
    </row>
    <row r="92" spans="1:11" ht="14.5" x14ac:dyDescent="0.35">
      <c r="A92" s="3">
        <v>44100</v>
      </c>
      <c r="B92" s="4">
        <v>2020</v>
      </c>
      <c r="C92" s="4" t="s">
        <v>11</v>
      </c>
      <c r="D92" s="4" t="s">
        <v>12</v>
      </c>
      <c r="E92" s="5">
        <v>1341.05</v>
      </c>
      <c r="F92" s="7">
        <v>19880</v>
      </c>
      <c r="G92" s="4">
        <v>42.28</v>
      </c>
      <c r="H92" s="7">
        <v>1092</v>
      </c>
      <c r="I92" s="5">
        <v>3447.49</v>
      </c>
      <c r="J92" s="6">
        <v>541</v>
      </c>
      <c r="K92" s="6">
        <v>553</v>
      </c>
    </row>
    <row r="93" spans="1:11" ht="14.5" x14ac:dyDescent="0.35">
      <c r="A93" s="3">
        <v>44100</v>
      </c>
      <c r="B93" s="4">
        <v>2020</v>
      </c>
      <c r="C93" s="4" t="s">
        <v>13</v>
      </c>
      <c r="D93" s="4" t="s">
        <v>16</v>
      </c>
      <c r="E93" s="5">
        <v>42997.96</v>
      </c>
      <c r="F93" s="7">
        <v>3432468</v>
      </c>
      <c r="G93" s="7">
        <v>109316</v>
      </c>
      <c r="H93" s="7">
        <v>1897</v>
      </c>
      <c r="I93" s="5">
        <v>136840.57</v>
      </c>
      <c r="J93" s="8">
        <v>1421</v>
      </c>
      <c r="K93" s="8">
        <v>2423</v>
      </c>
    </row>
    <row r="94" spans="1:11" ht="14.5" x14ac:dyDescent="0.35">
      <c r="A94" s="3">
        <v>44100</v>
      </c>
      <c r="B94" s="4">
        <v>2020</v>
      </c>
      <c r="C94" s="4" t="s">
        <v>11</v>
      </c>
      <c r="D94" s="4" t="s">
        <v>15</v>
      </c>
      <c r="E94" s="5">
        <v>7714.63</v>
      </c>
      <c r="F94" s="7">
        <v>162580</v>
      </c>
      <c r="G94" s="9">
        <v>7270</v>
      </c>
      <c r="H94" s="7">
        <v>71612</v>
      </c>
      <c r="I94" s="5">
        <v>717043.36</v>
      </c>
      <c r="J94" s="6">
        <v>877</v>
      </c>
      <c r="K94" s="6">
        <v>889</v>
      </c>
    </row>
    <row r="95" spans="1:11" ht="14.5" x14ac:dyDescent="0.35">
      <c r="A95" s="3">
        <v>44107</v>
      </c>
      <c r="B95" s="4">
        <v>2020</v>
      </c>
      <c r="C95" s="4" t="s">
        <v>11</v>
      </c>
      <c r="D95" s="4" t="s">
        <v>12</v>
      </c>
      <c r="E95" s="5">
        <v>1770.22</v>
      </c>
      <c r="F95" s="7">
        <v>39917</v>
      </c>
      <c r="G95" s="4">
        <v>25.85</v>
      </c>
      <c r="H95" s="7">
        <v>1332</v>
      </c>
      <c r="I95" s="5">
        <v>2327.9</v>
      </c>
      <c r="J95" s="6">
        <v>583</v>
      </c>
      <c r="K95" s="6">
        <v>595</v>
      </c>
    </row>
    <row r="96" spans="1:11" ht="14.5" x14ac:dyDescent="0.35">
      <c r="A96" s="3">
        <v>44107</v>
      </c>
      <c r="B96" s="4">
        <v>2020</v>
      </c>
      <c r="C96" s="4" t="s">
        <v>13</v>
      </c>
      <c r="D96" s="4" t="s">
        <v>16</v>
      </c>
      <c r="E96" s="5">
        <v>50605.440000000002</v>
      </c>
      <c r="F96" s="7">
        <v>3036978</v>
      </c>
      <c r="G96" s="7">
        <v>55715</v>
      </c>
      <c r="H96" s="7">
        <v>1575</v>
      </c>
      <c r="I96" s="5">
        <v>117703.24</v>
      </c>
      <c r="J96" s="8">
        <v>1497</v>
      </c>
      <c r="K96" s="8">
        <v>2556</v>
      </c>
    </row>
    <row r="97" spans="1:11" ht="14.5" x14ac:dyDescent="0.35">
      <c r="A97" s="3">
        <v>44107</v>
      </c>
      <c r="B97" s="4">
        <v>2020</v>
      </c>
      <c r="C97" s="4" t="s">
        <v>11</v>
      </c>
      <c r="D97" s="4" t="s">
        <v>15</v>
      </c>
      <c r="E97" s="5">
        <v>9917.75</v>
      </c>
      <c r="F97" s="7">
        <v>62799</v>
      </c>
      <c r="G97" s="9">
        <v>3305.26</v>
      </c>
      <c r="H97" s="7">
        <v>12570</v>
      </c>
      <c r="I97" s="5">
        <v>306029.09999999998</v>
      </c>
      <c r="J97" s="6">
        <v>931</v>
      </c>
      <c r="K97" s="6">
        <v>943</v>
      </c>
    </row>
    <row r="98" spans="1:11" ht="14.5" x14ac:dyDescent="0.35">
      <c r="A98" s="3">
        <v>44114</v>
      </c>
      <c r="B98" s="4">
        <v>2020</v>
      </c>
      <c r="C98" s="4" t="s">
        <v>11</v>
      </c>
      <c r="D98" s="4" t="s">
        <v>12</v>
      </c>
      <c r="E98" s="5">
        <v>2328.79</v>
      </c>
      <c r="F98" s="7">
        <v>37219</v>
      </c>
      <c r="G98" s="4">
        <v>27.28</v>
      </c>
      <c r="H98" s="7">
        <v>1756</v>
      </c>
      <c r="I98" s="5">
        <v>1971.77</v>
      </c>
      <c r="J98" s="6">
        <v>619</v>
      </c>
      <c r="K98" s="6">
        <v>631</v>
      </c>
    </row>
    <row r="99" spans="1:11" ht="14.5" x14ac:dyDescent="0.35">
      <c r="A99" s="3">
        <v>44114</v>
      </c>
      <c r="B99" s="4">
        <v>2020</v>
      </c>
      <c r="C99" s="4" t="s">
        <v>13</v>
      </c>
      <c r="D99" s="4" t="s">
        <v>16</v>
      </c>
      <c r="E99" s="5">
        <v>53583.71</v>
      </c>
      <c r="F99" s="7">
        <v>2921234</v>
      </c>
      <c r="G99" s="7">
        <v>71454</v>
      </c>
      <c r="H99" s="7">
        <v>1738</v>
      </c>
      <c r="I99" s="5">
        <v>161890.22</v>
      </c>
      <c r="J99" s="8">
        <v>1517</v>
      </c>
      <c r="K99" s="8">
        <v>2591</v>
      </c>
    </row>
    <row r="100" spans="1:11" ht="14.5" x14ac:dyDescent="0.35">
      <c r="A100" s="3">
        <v>44114</v>
      </c>
      <c r="B100" s="4">
        <v>2020</v>
      </c>
      <c r="C100" s="4" t="s">
        <v>11</v>
      </c>
      <c r="D100" s="4" t="s">
        <v>15</v>
      </c>
      <c r="E100" s="5">
        <v>11003.57</v>
      </c>
      <c r="F100" s="7">
        <v>215417</v>
      </c>
      <c r="G100" s="9">
        <v>7428</v>
      </c>
      <c r="H100" s="7">
        <v>76657</v>
      </c>
      <c r="I100" s="5">
        <v>659319.13</v>
      </c>
      <c r="J100" s="6">
        <v>937</v>
      </c>
      <c r="K100" s="6">
        <v>949</v>
      </c>
    </row>
    <row r="101" spans="1:11" ht="14.5" x14ac:dyDescent="0.35">
      <c r="A101" s="3">
        <v>44121</v>
      </c>
      <c r="B101" s="4">
        <v>2020</v>
      </c>
      <c r="C101" s="4" t="s">
        <v>11</v>
      </c>
      <c r="D101" s="4" t="s">
        <v>12</v>
      </c>
      <c r="E101" s="5">
        <v>2335.09</v>
      </c>
      <c r="F101" s="7">
        <v>57661</v>
      </c>
      <c r="G101" s="4">
        <v>49.17</v>
      </c>
      <c r="H101" s="7">
        <v>2223</v>
      </c>
      <c r="I101" s="5">
        <v>4432.5600000000004</v>
      </c>
      <c r="J101" s="6">
        <v>625</v>
      </c>
      <c r="K101" s="6">
        <v>637</v>
      </c>
    </row>
    <row r="102" spans="1:11" ht="14.5" x14ac:dyDescent="0.35">
      <c r="A102" s="3">
        <v>44121</v>
      </c>
      <c r="B102" s="4">
        <v>2020</v>
      </c>
      <c r="C102" s="4" t="s">
        <v>13</v>
      </c>
      <c r="D102" s="4" t="s">
        <v>17</v>
      </c>
      <c r="E102" s="5">
        <v>900.71</v>
      </c>
      <c r="F102" s="7">
        <v>79789</v>
      </c>
      <c r="G102" s="7">
        <v>3860</v>
      </c>
      <c r="H102" s="4">
        <v>203</v>
      </c>
      <c r="I102" s="5">
        <v>14941.99</v>
      </c>
      <c r="J102" s="6">
        <v>197</v>
      </c>
      <c r="K102" s="6">
        <v>281</v>
      </c>
    </row>
    <row r="103" spans="1:11" ht="14.5" x14ac:dyDescent="0.35">
      <c r="A103" s="3">
        <v>44121</v>
      </c>
      <c r="B103" s="4">
        <v>2020</v>
      </c>
      <c r="C103" s="4" t="s">
        <v>11</v>
      </c>
      <c r="D103" s="4" t="s">
        <v>15</v>
      </c>
      <c r="E103" s="5">
        <v>11005.79</v>
      </c>
      <c r="F103" s="7">
        <v>40408</v>
      </c>
      <c r="G103" s="4">
        <v>644.1</v>
      </c>
      <c r="H103" s="7">
        <v>7977</v>
      </c>
      <c r="I103" s="5">
        <v>57759.05</v>
      </c>
      <c r="J103" s="6">
        <v>943</v>
      </c>
      <c r="K103" s="6">
        <v>955</v>
      </c>
    </row>
    <row r="104" spans="1:11" ht="14.5" x14ac:dyDescent="0.35">
      <c r="A104" s="3">
        <v>44121</v>
      </c>
      <c r="B104" s="4">
        <v>2020</v>
      </c>
      <c r="C104" s="4" t="s">
        <v>13</v>
      </c>
      <c r="D104" s="4" t="s">
        <v>16</v>
      </c>
      <c r="E104" s="5">
        <v>67341.09</v>
      </c>
      <c r="F104" s="7">
        <v>6334283</v>
      </c>
      <c r="G104" s="7">
        <v>151520</v>
      </c>
      <c r="H104" s="7">
        <v>8104</v>
      </c>
      <c r="I104" s="5">
        <v>747716.44</v>
      </c>
      <c r="J104" s="8">
        <v>1637</v>
      </c>
      <c r="K104" s="8">
        <v>2801</v>
      </c>
    </row>
    <row r="105" spans="1:11" ht="14.5" x14ac:dyDescent="0.35">
      <c r="A105" s="3">
        <v>44128</v>
      </c>
      <c r="B105" s="4">
        <v>2020</v>
      </c>
      <c r="C105" s="4" t="s">
        <v>13</v>
      </c>
      <c r="D105" s="4" t="s">
        <v>17</v>
      </c>
      <c r="E105" s="5">
        <v>5210.57</v>
      </c>
      <c r="F105" s="7">
        <v>558241</v>
      </c>
      <c r="G105" s="7">
        <v>34672</v>
      </c>
      <c r="H105" s="7">
        <v>1734</v>
      </c>
      <c r="I105" s="5">
        <v>20851.88</v>
      </c>
      <c r="J105" s="6">
        <v>517</v>
      </c>
      <c r="K105" s="6">
        <v>841</v>
      </c>
    </row>
    <row r="106" spans="1:11" ht="14.5" x14ac:dyDescent="0.35">
      <c r="A106" s="3">
        <v>44128</v>
      </c>
      <c r="B106" s="4">
        <v>2020</v>
      </c>
      <c r="C106" s="4" t="s">
        <v>11</v>
      </c>
      <c r="D106" s="4" t="s">
        <v>12</v>
      </c>
      <c r="E106" s="5">
        <v>2423.34</v>
      </c>
      <c r="F106" s="7">
        <v>88914</v>
      </c>
      <c r="G106" s="4">
        <v>30.78</v>
      </c>
      <c r="H106" s="7">
        <v>3127</v>
      </c>
      <c r="I106" s="5">
        <v>2094.52</v>
      </c>
      <c r="J106" s="6">
        <v>631</v>
      </c>
      <c r="K106" s="6">
        <v>643</v>
      </c>
    </row>
    <row r="107" spans="1:11" ht="14.5" x14ac:dyDescent="0.35">
      <c r="A107" s="3">
        <v>44128</v>
      </c>
      <c r="B107" s="4">
        <v>2020</v>
      </c>
      <c r="C107" s="4" t="s">
        <v>13</v>
      </c>
      <c r="D107" s="4" t="s">
        <v>16</v>
      </c>
      <c r="E107" s="5">
        <v>68451.61</v>
      </c>
      <c r="F107" s="7">
        <v>32102884</v>
      </c>
      <c r="G107" s="7">
        <v>13725</v>
      </c>
      <c r="H107" s="7">
        <v>3278</v>
      </c>
      <c r="I107" s="5">
        <v>228111.16</v>
      </c>
      <c r="J107" s="8">
        <v>1645</v>
      </c>
      <c r="K107" s="8">
        <v>2815</v>
      </c>
    </row>
    <row r="108" spans="1:11" ht="14.5" x14ac:dyDescent="0.35">
      <c r="A108" s="3">
        <v>44128</v>
      </c>
      <c r="B108" s="4">
        <v>2020</v>
      </c>
      <c r="C108" s="4" t="s">
        <v>11</v>
      </c>
      <c r="D108" s="4" t="s">
        <v>15</v>
      </c>
      <c r="E108" s="5">
        <v>16442.189999999999</v>
      </c>
      <c r="F108" s="7">
        <v>524089</v>
      </c>
      <c r="G108" s="9">
        <v>9085.57</v>
      </c>
      <c r="H108" s="7">
        <v>195936</v>
      </c>
      <c r="I108" s="5">
        <v>778112.41</v>
      </c>
      <c r="J108" s="8">
        <v>1033</v>
      </c>
      <c r="K108" s="8">
        <v>1045</v>
      </c>
    </row>
    <row r="109" spans="1:11" ht="14.5" x14ac:dyDescent="0.35">
      <c r="A109" s="3">
        <v>44135</v>
      </c>
      <c r="B109" s="4">
        <v>2020</v>
      </c>
      <c r="C109" s="4" t="s">
        <v>11</v>
      </c>
      <c r="D109" s="4" t="s">
        <v>12</v>
      </c>
      <c r="E109" s="5">
        <v>2690.73</v>
      </c>
      <c r="F109" s="7">
        <v>89595</v>
      </c>
      <c r="G109" s="4">
        <v>139.78</v>
      </c>
      <c r="H109" s="7">
        <v>2035</v>
      </c>
      <c r="I109" s="5">
        <v>13450.97</v>
      </c>
      <c r="J109" s="6">
        <v>649</v>
      </c>
      <c r="K109" s="6">
        <v>661</v>
      </c>
    </row>
    <row r="110" spans="1:11" ht="14.5" x14ac:dyDescent="0.35">
      <c r="A110" s="3">
        <v>44135</v>
      </c>
      <c r="B110" s="4">
        <v>2020</v>
      </c>
      <c r="C110" s="4" t="s">
        <v>13</v>
      </c>
      <c r="D110" s="4" t="s">
        <v>16</v>
      </c>
      <c r="E110" s="5">
        <v>76823.94</v>
      </c>
      <c r="F110" s="7">
        <v>38410835</v>
      </c>
      <c r="G110" s="7">
        <v>17292</v>
      </c>
      <c r="H110" s="7">
        <v>2459</v>
      </c>
      <c r="I110" s="5">
        <v>210100.44</v>
      </c>
      <c r="J110" s="8">
        <v>1665</v>
      </c>
      <c r="K110" s="8">
        <v>2850</v>
      </c>
    </row>
    <row r="111" spans="1:11" ht="14.5" x14ac:dyDescent="0.35">
      <c r="A111" s="3">
        <v>44135</v>
      </c>
      <c r="B111" s="4">
        <v>2020</v>
      </c>
      <c r="C111" s="4" t="s">
        <v>13</v>
      </c>
      <c r="D111" s="4" t="s">
        <v>17</v>
      </c>
      <c r="E111" s="5">
        <v>34307.97</v>
      </c>
      <c r="F111" s="7">
        <v>1428146</v>
      </c>
      <c r="G111" s="7">
        <v>56427</v>
      </c>
      <c r="H111" s="7">
        <v>1542</v>
      </c>
      <c r="I111" s="5">
        <v>133423.06</v>
      </c>
      <c r="J111" s="8">
        <v>1301</v>
      </c>
      <c r="K111" s="8">
        <v>2213</v>
      </c>
    </row>
    <row r="112" spans="1:11" ht="14.5" x14ac:dyDescent="0.35">
      <c r="A112" s="3">
        <v>44135</v>
      </c>
      <c r="B112" s="4">
        <v>2020</v>
      </c>
      <c r="C112" s="4" t="s">
        <v>11</v>
      </c>
      <c r="D112" s="4" t="s">
        <v>15</v>
      </c>
      <c r="E112" s="5">
        <v>20124.740000000002</v>
      </c>
      <c r="F112" s="7">
        <v>101751</v>
      </c>
      <c r="G112" s="9">
        <v>6400.96</v>
      </c>
      <c r="H112" s="7">
        <v>41206</v>
      </c>
      <c r="I112" s="5">
        <v>676056.32</v>
      </c>
      <c r="J112" s="8">
        <v>1081</v>
      </c>
      <c r="K112" s="8">
        <v>1093</v>
      </c>
    </row>
    <row r="113" spans="1:11" ht="14.5" x14ac:dyDescent="0.35">
      <c r="A113" s="3">
        <v>44142</v>
      </c>
      <c r="B113" s="4">
        <v>2020</v>
      </c>
      <c r="C113" s="4" t="s">
        <v>11</v>
      </c>
      <c r="D113" s="4" t="s">
        <v>12</v>
      </c>
      <c r="E113" s="5">
        <v>4195.58</v>
      </c>
      <c r="F113" s="7">
        <v>305822</v>
      </c>
      <c r="G113" s="4">
        <v>248.46</v>
      </c>
      <c r="H113" s="7">
        <v>3964</v>
      </c>
      <c r="I113" s="5">
        <v>21236.75</v>
      </c>
      <c r="J113" s="6">
        <v>739</v>
      </c>
      <c r="K113" s="6">
        <v>751</v>
      </c>
    </row>
    <row r="114" spans="1:11" ht="14.5" x14ac:dyDescent="0.35">
      <c r="A114" s="3">
        <v>44142</v>
      </c>
      <c r="B114" s="4">
        <v>2020</v>
      </c>
      <c r="C114" s="4" t="s">
        <v>13</v>
      </c>
      <c r="D114" s="4" t="s">
        <v>16</v>
      </c>
      <c r="E114" s="5">
        <v>78896.52</v>
      </c>
      <c r="F114" s="7">
        <v>7296478</v>
      </c>
      <c r="G114" s="7">
        <v>180660</v>
      </c>
      <c r="H114" s="7">
        <v>4269</v>
      </c>
      <c r="I114" s="5">
        <v>356672.27</v>
      </c>
      <c r="J114" s="8">
        <v>1673</v>
      </c>
      <c r="K114" s="8">
        <v>2864</v>
      </c>
    </row>
    <row r="115" spans="1:11" ht="14.5" x14ac:dyDescent="0.35">
      <c r="A115" s="3">
        <v>44142</v>
      </c>
      <c r="B115" s="4">
        <v>2020</v>
      </c>
      <c r="C115" s="4" t="s">
        <v>13</v>
      </c>
      <c r="D115" s="4" t="s">
        <v>17</v>
      </c>
      <c r="E115" s="5">
        <v>39177.11</v>
      </c>
      <c r="F115" s="7">
        <v>2028080</v>
      </c>
      <c r="G115" s="7">
        <v>90835</v>
      </c>
      <c r="H115" s="7">
        <v>5873</v>
      </c>
      <c r="I115" s="5">
        <v>506004.65</v>
      </c>
      <c r="J115" s="8">
        <v>1369</v>
      </c>
      <c r="K115" s="8">
        <v>2332</v>
      </c>
    </row>
    <row r="116" spans="1:11" ht="14.5" x14ac:dyDescent="0.35">
      <c r="A116" s="3">
        <v>44142</v>
      </c>
      <c r="B116" s="4">
        <v>2020</v>
      </c>
      <c r="C116" s="4" t="s">
        <v>11</v>
      </c>
      <c r="D116" s="4" t="s">
        <v>15</v>
      </c>
      <c r="E116" s="5">
        <v>20187.47</v>
      </c>
      <c r="F116" s="7">
        <v>1141060</v>
      </c>
      <c r="G116" s="9">
        <v>64771.15</v>
      </c>
      <c r="H116" s="7">
        <v>682100</v>
      </c>
      <c r="I116" s="5">
        <v>5448091.9699999997</v>
      </c>
      <c r="J116" s="8">
        <v>1093</v>
      </c>
      <c r="K116" s="8">
        <v>1105</v>
      </c>
    </row>
    <row r="117" spans="1:11" ht="14.5" x14ac:dyDescent="0.35">
      <c r="A117" s="3">
        <v>44149</v>
      </c>
      <c r="B117" s="4">
        <v>2020</v>
      </c>
      <c r="C117" s="4" t="s">
        <v>11</v>
      </c>
      <c r="D117" s="4" t="s">
        <v>12</v>
      </c>
      <c r="E117" s="5">
        <v>5606.15</v>
      </c>
      <c r="F117" s="7">
        <v>655613</v>
      </c>
      <c r="G117" s="4">
        <v>297.17</v>
      </c>
      <c r="H117" s="7">
        <v>6833</v>
      </c>
      <c r="I117" s="5">
        <v>23130.07</v>
      </c>
      <c r="J117" s="6">
        <v>799</v>
      </c>
      <c r="K117" s="6">
        <v>811</v>
      </c>
    </row>
    <row r="118" spans="1:11" ht="14.5" x14ac:dyDescent="0.35">
      <c r="A118" s="3">
        <v>44149</v>
      </c>
      <c r="B118" s="4">
        <v>2020</v>
      </c>
      <c r="C118" s="4" t="s">
        <v>13</v>
      </c>
      <c r="D118" s="4" t="s">
        <v>16</v>
      </c>
      <c r="E118" s="5">
        <v>79859.64</v>
      </c>
      <c r="F118" s="7">
        <v>5233881</v>
      </c>
      <c r="G118" s="7">
        <v>126680</v>
      </c>
      <c r="H118" s="7">
        <v>2306</v>
      </c>
      <c r="I118" s="5">
        <v>180899.98</v>
      </c>
      <c r="J118" s="8">
        <v>1677</v>
      </c>
      <c r="K118" s="8">
        <v>2871</v>
      </c>
    </row>
    <row r="119" spans="1:11" ht="14.5" x14ac:dyDescent="0.35">
      <c r="A119" s="3">
        <v>44149</v>
      </c>
      <c r="B119" s="4">
        <v>2020</v>
      </c>
      <c r="C119" s="4" t="s">
        <v>13</v>
      </c>
      <c r="D119" s="4" t="s">
        <v>17</v>
      </c>
      <c r="E119" s="5">
        <v>39815.01</v>
      </c>
      <c r="F119" s="7">
        <v>2136083</v>
      </c>
      <c r="G119" s="7">
        <v>101952</v>
      </c>
      <c r="H119" s="7">
        <v>3051</v>
      </c>
      <c r="I119" s="5">
        <v>241764.9</v>
      </c>
      <c r="J119" s="8">
        <v>1377</v>
      </c>
      <c r="K119" s="8">
        <v>2346</v>
      </c>
    </row>
    <row r="120" spans="1:11" ht="14.5" x14ac:dyDescent="0.35">
      <c r="A120" s="3">
        <v>44149</v>
      </c>
      <c r="B120" s="4">
        <v>2020</v>
      </c>
      <c r="C120" s="4" t="s">
        <v>11</v>
      </c>
      <c r="D120" s="4" t="s">
        <v>15</v>
      </c>
      <c r="E120" s="5">
        <v>37622.699999999997</v>
      </c>
      <c r="F120" s="7">
        <v>428534</v>
      </c>
      <c r="G120" s="9">
        <v>13617.93</v>
      </c>
      <c r="H120" s="7">
        <v>184827</v>
      </c>
      <c r="I120" s="5">
        <v>1146197.8999999999</v>
      </c>
      <c r="J120" s="8">
        <v>1267</v>
      </c>
      <c r="K120" s="8">
        <v>1279</v>
      </c>
    </row>
    <row r="121" spans="1:11" ht="14.5" x14ac:dyDescent="0.35">
      <c r="A121" s="3">
        <v>44156</v>
      </c>
      <c r="B121" s="4">
        <v>2020</v>
      </c>
      <c r="C121" s="4" t="s">
        <v>11</v>
      </c>
      <c r="D121" s="4" t="s">
        <v>12</v>
      </c>
      <c r="E121" s="5">
        <v>7291.58</v>
      </c>
      <c r="F121" s="7">
        <v>91553</v>
      </c>
      <c r="G121" s="4">
        <v>475.54</v>
      </c>
      <c r="H121" s="7">
        <v>3263</v>
      </c>
      <c r="I121" s="5">
        <v>39782.639999999999</v>
      </c>
      <c r="J121" s="6">
        <v>853</v>
      </c>
      <c r="K121" s="6">
        <v>865</v>
      </c>
    </row>
    <row r="122" spans="1:11" ht="14.5" x14ac:dyDescent="0.35">
      <c r="A122" s="3">
        <v>44156</v>
      </c>
      <c r="B122" s="4">
        <v>2020</v>
      </c>
      <c r="C122" s="4" t="s">
        <v>13</v>
      </c>
      <c r="D122" s="4" t="s">
        <v>16</v>
      </c>
      <c r="E122" s="5">
        <v>405436.04</v>
      </c>
      <c r="F122" s="7">
        <v>19657204</v>
      </c>
      <c r="G122" s="7">
        <v>656346</v>
      </c>
      <c r="H122" s="7">
        <v>18952</v>
      </c>
      <c r="I122" s="5">
        <v>1636483.73</v>
      </c>
      <c r="J122" s="8">
        <v>2049</v>
      </c>
      <c r="K122" s="8">
        <v>3522</v>
      </c>
    </row>
    <row r="123" spans="1:11" ht="14.5" x14ac:dyDescent="0.35">
      <c r="A123" s="3">
        <v>44156</v>
      </c>
      <c r="B123" s="4">
        <v>2020</v>
      </c>
      <c r="C123" s="4" t="s">
        <v>11</v>
      </c>
      <c r="D123" s="4" t="s">
        <v>15</v>
      </c>
      <c r="E123" s="5">
        <v>56581.49</v>
      </c>
      <c r="F123" s="7">
        <v>997230</v>
      </c>
      <c r="G123" s="9">
        <v>105841.47</v>
      </c>
      <c r="H123" s="7">
        <v>615249</v>
      </c>
      <c r="I123" s="5">
        <v>9452446.7300000004</v>
      </c>
      <c r="J123" s="8">
        <v>1381</v>
      </c>
      <c r="K123" s="8">
        <v>1393</v>
      </c>
    </row>
    <row r="124" spans="1:11" ht="14.5" x14ac:dyDescent="0.35">
      <c r="A124" s="3">
        <v>44156</v>
      </c>
      <c r="B124" s="4">
        <v>2020</v>
      </c>
      <c r="C124" s="4" t="s">
        <v>13</v>
      </c>
      <c r="D124" s="4" t="s">
        <v>17</v>
      </c>
      <c r="E124" s="5">
        <v>44858.41</v>
      </c>
      <c r="F124" s="7">
        <v>2473869</v>
      </c>
      <c r="G124" s="7">
        <v>108575</v>
      </c>
      <c r="H124" s="7">
        <v>3470</v>
      </c>
      <c r="I124" s="5">
        <v>278038.83</v>
      </c>
      <c r="J124" s="8">
        <v>1453</v>
      </c>
      <c r="K124" s="8">
        <v>2479</v>
      </c>
    </row>
    <row r="125" spans="1:11" ht="14.5" x14ac:dyDescent="0.35">
      <c r="A125" s="3">
        <v>44163</v>
      </c>
      <c r="B125" s="4">
        <v>2020</v>
      </c>
      <c r="C125" s="4" t="s">
        <v>11</v>
      </c>
      <c r="D125" s="4" t="s">
        <v>12</v>
      </c>
      <c r="E125" s="5">
        <v>14404.05</v>
      </c>
      <c r="F125" s="7">
        <v>1583724</v>
      </c>
      <c r="G125" s="4">
        <v>498.78</v>
      </c>
      <c r="H125" s="7">
        <v>16190</v>
      </c>
      <c r="I125" s="5">
        <v>40185.96</v>
      </c>
      <c r="J125" s="8">
        <v>1009</v>
      </c>
      <c r="K125" s="8">
        <v>1021</v>
      </c>
    </row>
    <row r="126" spans="1:11" ht="14.5" x14ac:dyDescent="0.35">
      <c r="A126" s="3">
        <v>44163</v>
      </c>
      <c r="B126" s="4">
        <v>2020</v>
      </c>
      <c r="C126" s="4" t="s">
        <v>13</v>
      </c>
      <c r="D126" s="4" t="s">
        <v>16</v>
      </c>
      <c r="E126" s="5">
        <v>445123.1</v>
      </c>
      <c r="F126" s="7">
        <v>23294630</v>
      </c>
      <c r="G126" s="7">
        <v>755011</v>
      </c>
      <c r="H126" s="7">
        <v>19192</v>
      </c>
      <c r="I126" s="5">
        <v>1608703.78</v>
      </c>
      <c r="J126" s="8">
        <v>2053</v>
      </c>
      <c r="K126" s="8">
        <v>3529</v>
      </c>
    </row>
    <row r="127" spans="1:11" ht="14.5" x14ac:dyDescent="0.35">
      <c r="A127" s="3">
        <v>44163</v>
      </c>
      <c r="B127" s="4">
        <v>2020</v>
      </c>
      <c r="C127" s="4" t="s">
        <v>11</v>
      </c>
      <c r="D127" s="4" t="s">
        <v>15</v>
      </c>
      <c r="E127" s="5">
        <v>63011.53</v>
      </c>
      <c r="F127" s="7">
        <v>428498</v>
      </c>
      <c r="G127" s="9">
        <v>25102.9</v>
      </c>
      <c r="H127" s="7">
        <v>163768</v>
      </c>
      <c r="I127" s="5">
        <v>2346275.4500000002</v>
      </c>
      <c r="J127" s="8">
        <v>1423</v>
      </c>
      <c r="K127" s="8">
        <v>1435</v>
      </c>
    </row>
    <row r="128" spans="1:11" ht="14.5" x14ac:dyDescent="0.35">
      <c r="A128" s="3">
        <v>44163</v>
      </c>
      <c r="B128" s="4">
        <v>2020</v>
      </c>
      <c r="C128" s="4" t="s">
        <v>13</v>
      </c>
      <c r="D128" s="4" t="s">
        <v>17</v>
      </c>
      <c r="E128" s="5">
        <v>73715</v>
      </c>
      <c r="F128" s="7">
        <v>2951681</v>
      </c>
      <c r="G128" s="7">
        <v>132174</v>
      </c>
      <c r="H128" s="7">
        <v>4341</v>
      </c>
      <c r="I128" s="5">
        <v>383218.13</v>
      </c>
      <c r="J128" s="8">
        <v>1661</v>
      </c>
      <c r="K128" s="8">
        <v>2843</v>
      </c>
    </row>
    <row r="129" spans="1:11" ht="14.5" x14ac:dyDescent="0.35">
      <c r="A129" s="3">
        <v>44170</v>
      </c>
      <c r="B129" s="4">
        <v>2020</v>
      </c>
      <c r="C129" s="4" t="s">
        <v>13</v>
      </c>
      <c r="D129" s="4" t="s">
        <v>17</v>
      </c>
      <c r="E129" s="5">
        <v>120259.25</v>
      </c>
      <c r="F129" s="7">
        <v>8768862</v>
      </c>
      <c r="G129" s="7">
        <v>471230</v>
      </c>
      <c r="H129" s="7">
        <v>13377</v>
      </c>
      <c r="I129" s="5">
        <v>141569.82999999999</v>
      </c>
      <c r="J129" s="8">
        <v>1841</v>
      </c>
      <c r="K129" s="8">
        <v>3158</v>
      </c>
    </row>
    <row r="130" spans="1:11" ht="14.5" x14ac:dyDescent="0.35">
      <c r="A130" s="3">
        <v>44170</v>
      </c>
      <c r="B130" s="4">
        <v>2020</v>
      </c>
      <c r="C130" s="4" t="s">
        <v>11</v>
      </c>
      <c r="D130" s="4" t="s">
        <v>12</v>
      </c>
      <c r="E130" s="5">
        <v>54735.14</v>
      </c>
      <c r="F130" s="7">
        <v>1787395</v>
      </c>
      <c r="G130" s="9">
        <v>5170.4799999999996</v>
      </c>
      <c r="H130" s="7">
        <v>52914</v>
      </c>
      <c r="I130" s="5">
        <v>429648.01</v>
      </c>
      <c r="J130" s="8">
        <v>1369</v>
      </c>
      <c r="K130" s="8">
        <v>1381</v>
      </c>
    </row>
    <row r="131" spans="1:11" ht="14.5" x14ac:dyDescent="0.35">
      <c r="A131" s="3">
        <v>44170</v>
      </c>
      <c r="B131" s="4">
        <v>2020</v>
      </c>
      <c r="C131" s="4" t="s">
        <v>13</v>
      </c>
      <c r="D131" s="4" t="s">
        <v>16</v>
      </c>
      <c r="E131" s="5">
        <v>445864.98</v>
      </c>
      <c r="F131" s="7">
        <v>41014042</v>
      </c>
      <c r="G131" s="7">
        <v>1273315</v>
      </c>
      <c r="H131" s="7">
        <v>12210</v>
      </c>
      <c r="I131" s="5">
        <v>845969.76</v>
      </c>
      <c r="J131" s="8">
        <v>2057</v>
      </c>
      <c r="K131" s="8">
        <v>3536</v>
      </c>
    </row>
    <row r="132" spans="1:11" ht="14.5" x14ac:dyDescent="0.35">
      <c r="A132" s="3">
        <v>44170</v>
      </c>
      <c r="B132" s="4">
        <v>2020</v>
      </c>
      <c r="C132" s="4" t="s">
        <v>11</v>
      </c>
      <c r="D132" s="4" t="s">
        <v>15</v>
      </c>
      <c r="E132" s="5">
        <v>88791.83</v>
      </c>
      <c r="F132" s="7">
        <v>5614345</v>
      </c>
      <c r="G132" s="9">
        <v>171907.73</v>
      </c>
      <c r="H132" s="7">
        <v>2882848</v>
      </c>
      <c r="I132" s="5">
        <v>14511418.93</v>
      </c>
      <c r="J132" s="8">
        <v>1513</v>
      </c>
      <c r="K132" s="8">
        <v>1525</v>
      </c>
    </row>
    <row r="133" spans="1:11" ht="14.5" x14ac:dyDescent="0.35">
      <c r="A133" s="3">
        <v>44177</v>
      </c>
      <c r="B133" s="4">
        <v>2020</v>
      </c>
      <c r="C133" s="4" t="s">
        <v>13</v>
      </c>
      <c r="D133" s="4" t="s">
        <v>17</v>
      </c>
      <c r="E133" s="5">
        <v>130099.43</v>
      </c>
      <c r="F133" s="7">
        <v>9979399</v>
      </c>
      <c r="G133" s="7">
        <v>575522</v>
      </c>
      <c r="H133" s="7">
        <v>15293</v>
      </c>
      <c r="I133" s="5">
        <v>189382.56</v>
      </c>
      <c r="J133" s="8">
        <v>1893</v>
      </c>
      <c r="K133" s="8">
        <v>3249</v>
      </c>
    </row>
    <row r="134" spans="1:11" ht="14.5" x14ac:dyDescent="0.35">
      <c r="A134" s="3">
        <v>44177</v>
      </c>
      <c r="B134" s="4">
        <v>2020</v>
      </c>
      <c r="C134" s="4" t="s">
        <v>11</v>
      </c>
      <c r="D134" s="4" t="s">
        <v>12</v>
      </c>
      <c r="E134" s="5">
        <v>11846.31</v>
      </c>
      <c r="F134" s="7">
        <v>724261</v>
      </c>
      <c r="G134" s="4">
        <v>742.48</v>
      </c>
      <c r="H134" s="7">
        <v>9842</v>
      </c>
      <c r="I134" s="5">
        <v>56383.19</v>
      </c>
      <c r="J134" s="6">
        <v>967</v>
      </c>
      <c r="K134" s="6">
        <v>979</v>
      </c>
    </row>
    <row r="135" spans="1:11" ht="14.5" x14ac:dyDescent="0.35">
      <c r="A135" s="3">
        <v>44177</v>
      </c>
      <c r="B135" s="4">
        <v>2020</v>
      </c>
      <c r="C135" s="4" t="s">
        <v>11</v>
      </c>
      <c r="D135" s="4" t="s">
        <v>15</v>
      </c>
      <c r="E135" s="5">
        <v>134502.53</v>
      </c>
      <c r="F135" s="7">
        <v>577206</v>
      </c>
      <c r="G135" s="9">
        <v>12924.65</v>
      </c>
      <c r="H135" s="7">
        <v>131613</v>
      </c>
      <c r="I135" s="5">
        <v>1286734.52</v>
      </c>
      <c r="J135" s="8">
        <v>1609</v>
      </c>
      <c r="K135" s="8">
        <v>1621</v>
      </c>
    </row>
    <row r="136" spans="1:11" ht="14.5" x14ac:dyDescent="0.35">
      <c r="A136" s="3">
        <v>44177</v>
      </c>
      <c r="B136" s="4">
        <v>2020</v>
      </c>
      <c r="C136" s="4" t="s">
        <v>13</v>
      </c>
      <c r="D136" s="4" t="s">
        <v>16</v>
      </c>
      <c r="E136" s="5">
        <v>754564.12</v>
      </c>
      <c r="F136" s="7">
        <v>62376378</v>
      </c>
      <c r="G136" s="7">
        <v>1733642</v>
      </c>
      <c r="H136" s="7">
        <v>26402</v>
      </c>
      <c r="I136" s="5">
        <v>2033613.07</v>
      </c>
      <c r="J136" s="8">
        <v>2097</v>
      </c>
      <c r="K136" s="8">
        <v>3606</v>
      </c>
    </row>
    <row r="137" spans="1:11" ht="14.5" x14ac:dyDescent="0.35">
      <c r="A137" s="3">
        <v>44184</v>
      </c>
      <c r="B137" s="4">
        <v>2020</v>
      </c>
      <c r="C137" s="4" t="s">
        <v>13</v>
      </c>
      <c r="D137" s="4" t="s">
        <v>17</v>
      </c>
      <c r="E137" s="5">
        <v>160242.85</v>
      </c>
      <c r="F137" s="7">
        <v>10285814</v>
      </c>
      <c r="G137" s="7">
        <v>529450</v>
      </c>
      <c r="H137" s="7">
        <v>15943</v>
      </c>
      <c r="I137" s="5">
        <v>194785.32</v>
      </c>
      <c r="J137" s="8">
        <v>1941</v>
      </c>
      <c r="K137" s="8">
        <v>3333</v>
      </c>
    </row>
    <row r="138" spans="1:11" ht="14.5" x14ac:dyDescent="0.35">
      <c r="A138" s="3">
        <v>44184</v>
      </c>
      <c r="B138" s="4">
        <v>2020</v>
      </c>
      <c r="C138" s="4" t="s">
        <v>11</v>
      </c>
      <c r="D138" s="4" t="s">
        <v>12</v>
      </c>
      <c r="E138" s="5">
        <v>14404.05</v>
      </c>
      <c r="F138" s="7">
        <v>1583724</v>
      </c>
      <c r="G138" s="4">
        <v>498.78</v>
      </c>
      <c r="H138" s="7">
        <v>16190</v>
      </c>
      <c r="I138" s="5">
        <v>40185.96</v>
      </c>
      <c r="J138" s="8">
        <v>1009</v>
      </c>
      <c r="K138" s="8">
        <v>1021</v>
      </c>
    </row>
    <row r="139" spans="1:11" ht="14.5" x14ac:dyDescent="0.35">
      <c r="A139" s="3">
        <v>44184</v>
      </c>
      <c r="B139" s="4">
        <v>2020</v>
      </c>
      <c r="C139" s="4" t="s">
        <v>13</v>
      </c>
      <c r="D139" s="4" t="s">
        <v>16</v>
      </c>
      <c r="E139" s="5">
        <v>856045.61</v>
      </c>
      <c r="F139" s="7">
        <v>61692917</v>
      </c>
      <c r="G139" s="7">
        <v>2073789</v>
      </c>
      <c r="H139" s="7">
        <v>55313</v>
      </c>
      <c r="I139" s="5">
        <v>3452873.27</v>
      </c>
      <c r="J139" s="8">
        <v>2105</v>
      </c>
      <c r="K139" s="8">
        <v>3620</v>
      </c>
    </row>
    <row r="140" spans="1:11" ht="14.5" x14ac:dyDescent="0.35">
      <c r="A140" s="3">
        <v>44184</v>
      </c>
      <c r="B140" s="4">
        <v>2020</v>
      </c>
      <c r="C140" s="4" t="s">
        <v>11</v>
      </c>
      <c r="D140" s="4" t="s">
        <v>15</v>
      </c>
      <c r="E140" s="5">
        <v>179646.92</v>
      </c>
      <c r="F140" s="7">
        <v>3956067</v>
      </c>
      <c r="G140" s="9">
        <v>267645.03999999998</v>
      </c>
      <c r="H140" s="7">
        <v>2010961</v>
      </c>
      <c r="I140" s="5">
        <v>24832133.629999999</v>
      </c>
      <c r="J140" s="8">
        <v>1645</v>
      </c>
      <c r="K140" s="8">
        <v>1657</v>
      </c>
    </row>
    <row r="141" spans="1:11" ht="14.5" x14ac:dyDescent="0.35">
      <c r="A141" s="3">
        <v>44191</v>
      </c>
      <c r="B141" s="4">
        <v>2020</v>
      </c>
      <c r="C141" s="4" t="s">
        <v>13</v>
      </c>
      <c r="D141" s="4" t="s">
        <v>17</v>
      </c>
      <c r="E141" s="5">
        <v>186837.56</v>
      </c>
      <c r="F141" s="7">
        <v>9637864</v>
      </c>
      <c r="G141" s="7">
        <v>524338</v>
      </c>
      <c r="H141" s="7">
        <v>15760</v>
      </c>
      <c r="I141" s="5">
        <v>173596.89</v>
      </c>
      <c r="J141" s="8">
        <v>1981</v>
      </c>
      <c r="K141" s="8">
        <v>3403</v>
      </c>
    </row>
    <row r="142" spans="1:11" ht="14.5" x14ac:dyDescent="0.35">
      <c r="A142" s="3">
        <v>44191</v>
      </c>
      <c r="B142" s="4">
        <v>2020</v>
      </c>
      <c r="C142" s="4" t="s">
        <v>11</v>
      </c>
      <c r="D142" s="4" t="s">
        <v>12</v>
      </c>
      <c r="E142" s="5">
        <v>54735.14</v>
      </c>
      <c r="F142" s="7">
        <v>1787395</v>
      </c>
      <c r="G142" s="9">
        <v>5170.4799999999996</v>
      </c>
      <c r="H142" s="7">
        <v>52914</v>
      </c>
      <c r="I142" s="5">
        <v>429648.01</v>
      </c>
      <c r="J142" s="8">
        <v>1369</v>
      </c>
      <c r="K142" s="8">
        <v>1381</v>
      </c>
    </row>
    <row r="143" spans="1:11" ht="14.5" x14ac:dyDescent="0.35">
      <c r="A143" s="3">
        <v>44191</v>
      </c>
      <c r="B143" s="4">
        <v>2020</v>
      </c>
      <c r="C143" s="4" t="s">
        <v>11</v>
      </c>
      <c r="D143" s="4" t="s">
        <v>15</v>
      </c>
      <c r="E143" s="5">
        <v>226698.59</v>
      </c>
      <c r="F143" s="7">
        <v>2554112</v>
      </c>
      <c r="G143" s="9">
        <v>21927.95</v>
      </c>
      <c r="H143" s="7">
        <v>551134</v>
      </c>
      <c r="I143" s="5">
        <v>2070625.51</v>
      </c>
      <c r="J143" s="8">
        <v>1657</v>
      </c>
      <c r="K143" s="8">
        <v>1669</v>
      </c>
    </row>
    <row r="144" spans="1:11" ht="14.5" x14ac:dyDescent="0.35">
      <c r="A144" s="3">
        <v>44191</v>
      </c>
      <c r="B144" s="4">
        <v>2020</v>
      </c>
      <c r="C144" s="4" t="s">
        <v>13</v>
      </c>
      <c r="D144" s="4" t="s">
        <v>16</v>
      </c>
      <c r="E144" s="5">
        <v>1382260.74</v>
      </c>
      <c r="F144" s="7">
        <v>101300783</v>
      </c>
      <c r="G144" s="7">
        <v>2864954</v>
      </c>
      <c r="H144" s="7">
        <v>67979</v>
      </c>
      <c r="I144" s="5">
        <v>4587968.5599999996</v>
      </c>
      <c r="J144" s="8">
        <v>2113</v>
      </c>
      <c r="K144" s="8">
        <v>3634</v>
      </c>
    </row>
    <row r="145" spans="1:11" ht="14.5" x14ac:dyDescent="0.35">
      <c r="A145" s="3">
        <v>44198</v>
      </c>
      <c r="B145" s="4">
        <v>2021</v>
      </c>
      <c r="C145" s="4" t="s">
        <v>13</v>
      </c>
      <c r="D145" s="4" t="s">
        <v>14</v>
      </c>
      <c r="E145" s="5">
        <v>2963.07</v>
      </c>
      <c r="F145" s="7">
        <v>106316</v>
      </c>
      <c r="G145" s="4">
        <v>807</v>
      </c>
      <c r="H145" s="4">
        <v>20</v>
      </c>
      <c r="I145" s="5">
        <v>1873.44</v>
      </c>
      <c r="J145" s="6">
        <v>397</v>
      </c>
      <c r="K145" s="6">
        <v>631</v>
      </c>
    </row>
    <row r="146" spans="1:11" ht="14.5" x14ac:dyDescent="0.35">
      <c r="A146" s="3">
        <v>44198</v>
      </c>
      <c r="B146" s="4">
        <v>2021</v>
      </c>
      <c r="C146" s="4" t="s">
        <v>13</v>
      </c>
      <c r="D146" s="4" t="s">
        <v>16</v>
      </c>
      <c r="E146" s="5">
        <v>10794.18</v>
      </c>
      <c r="F146" s="7">
        <v>892816</v>
      </c>
      <c r="G146" s="7">
        <v>24744</v>
      </c>
      <c r="H146" s="4">
        <v>357</v>
      </c>
      <c r="I146" s="5">
        <v>37208.1</v>
      </c>
      <c r="J146" s="6">
        <v>745</v>
      </c>
      <c r="K146" s="8">
        <v>1240</v>
      </c>
    </row>
    <row r="147" spans="1:11" ht="14.5" x14ac:dyDescent="0.35">
      <c r="A147" s="3">
        <v>44205</v>
      </c>
      <c r="B147" s="4">
        <v>2021</v>
      </c>
      <c r="C147" s="4" t="s">
        <v>13</v>
      </c>
      <c r="D147" s="4" t="s">
        <v>14</v>
      </c>
      <c r="E147" s="5">
        <v>3041.42</v>
      </c>
      <c r="F147" s="7">
        <v>265730</v>
      </c>
      <c r="G147" s="7">
        <v>4173</v>
      </c>
      <c r="H147" s="4">
        <v>77</v>
      </c>
      <c r="I147" s="5">
        <v>7554.68</v>
      </c>
      <c r="J147" s="6">
        <v>405</v>
      </c>
      <c r="K147" s="6">
        <v>645</v>
      </c>
    </row>
    <row r="148" spans="1:11" ht="14.5" x14ac:dyDescent="0.35">
      <c r="A148" s="3">
        <v>44205</v>
      </c>
      <c r="B148" s="4">
        <v>2021</v>
      </c>
      <c r="C148" s="4" t="s">
        <v>13</v>
      </c>
      <c r="D148" s="4" t="s">
        <v>16</v>
      </c>
      <c r="E148" s="5">
        <v>10917.04</v>
      </c>
      <c r="F148" s="7">
        <v>937041</v>
      </c>
      <c r="G148" s="7">
        <v>38707</v>
      </c>
      <c r="H148" s="4">
        <v>627</v>
      </c>
      <c r="I148" s="5">
        <v>49785.95</v>
      </c>
      <c r="J148" s="6">
        <v>757</v>
      </c>
      <c r="K148" s="8">
        <v>1261</v>
      </c>
    </row>
    <row r="149" spans="1:11" ht="14.5" x14ac:dyDescent="0.35">
      <c r="A149" s="3">
        <v>44212</v>
      </c>
      <c r="B149" s="4">
        <v>2021</v>
      </c>
      <c r="C149" s="4" t="s">
        <v>13</v>
      </c>
      <c r="D149" s="4" t="s">
        <v>14</v>
      </c>
      <c r="E149" s="5">
        <v>3098.02</v>
      </c>
      <c r="F149" s="7">
        <v>254534</v>
      </c>
      <c r="G149" s="7">
        <v>5590</v>
      </c>
      <c r="H149" s="4">
        <v>184</v>
      </c>
      <c r="I149" s="5">
        <v>9683.1200000000008</v>
      </c>
      <c r="J149" s="6">
        <v>409</v>
      </c>
      <c r="K149" s="6">
        <v>652</v>
      </c>
    </row>
    <row r="150" spans="1:11" ht="14.5" x14ac:dyDescent="0.35">
      <c r="A150" s="3">
        <v>44212</v>
      </c>
      <c r="B150" s="4">
        <v>2021</v>
      </c>
      <c r="C150" s="4" t="s">
        <v>13</v>
      </c>
      <c r="D150" s="4" t="s">
        <v>16</v>
      </c>
      <c r="E150" s="5">
        <v>11503.52</v>
      </c>
      <c r="F150" s="7">
        <v>1431508</v>
      </c>
      <c r="G150" s="7">
        <v>29837</v>
      </c>
      <c r="H150" s="4">
        <v>554</v>
      </c>
      <c r="I150" s="5">
        <v>40374.910000000003</v>
      </c>
      <c r="J150" s="6">
        <v>793</v>
      </c>
      <c r="K150" s="8">
        <v>1324</v>
      </c>
    </row>
    <row r="151" spans="1:11" ht="14.5" x14ac:dyDescent="0.35">
      <c r="A151" s="3">
        <v>44219</v>
      </c>
      <c r="B151" s="4">
        <v>2021</v>
      </c>
      <c r="C151" s="4" t="s">
        <v>13</v>
      </c>
      <c r="D151" s="4" t="s">
        <v>16</v>
      </c>
      <c r="E151" s="5">
        <v>11702.76</v>
      </c>
      <c r="F151" s="7">
        <v>2162321</v>
      </c>
      <c r="G151" s="7">
        <v>48709</v>
      </c>
      <c r="H151" s="4">
        <v>5</v>
      </c>
      <c r="I151" s="5">
        <v>410.35</v>
      </c>
      <c r="J151" s="6">
        <v>805</v>
      </c>
      <c r="K151" s="8">
        <v>1345</v>
      </c>
    </row>
    <row r="152" spans="1:11" ht="14.5" x14ac:dyDescent="0.35">
      <c r="A152" s="3">
        <v>44219</v>
      </c>
      <c r="B152" s="4">
        <v>2021</v>
      </c>
      <c r="C152" s="4" t="s">
        <v>13</v>
      </c>
      <c r="D152" s="4" t="s">
        <v>14</v>
      </c>
      <c r="E152" s="5">
        <v>4087.54</v>
      </c>
      <c r="F152" s="7">
        <v>304147</v>
      </c>
      <c r="G152" s="7">
        <v>5010</v>
      </c>
      <c r="H152" s="4">
        <v>238</v>
      </c>
      <c r="I152" s="5">
        <v>22019.41</v>
      </c>
      <c r="J152" s="6">
        <v>465</v>
      </c>
      <c r="K152" s="6">
        <v>750</v>
      </c>
    </row>
    <row r="153" spans="1:11" ht="14.5" x14ac:dyDescent="0.35">
      <c r="A153" s="3">
        <v>44226</v>
      </c>
      <c r="B153" s="4">
        <v>2021</v>
      </c>
      <c r="C153" s="4" t="s">
        <v>13</v>
      </c>
      <c r="D153" s="4" t="s">
        <v>16</v>
      </c>
      <c r="E153" s="5">
        <v>12224.2</v>
      </c>
      <c r="F153" s="7">
        <v>1204649</v>
      </c>
      <c r="G153" s="7">
        <v>38331</v>
      </c>
      <c r="H153" s="4">
        <v>642</v>
      </c>
      <c r="I153" s="5">
        <v>52687.9</v>
      </c>
      <c r="J153" s="6">
        <v>833</v>
      </c>
      <c r="K153" s="8">
        <v>1394</v>
      </c>
    </row>
    <row r="154" spans="1:11" ht="14.5" x14ac:dyDescent="0.35">
      <c r="A154" s="3">
        <v>44226</v>
      </c>
      <c r="B154" s="4">
        <v>2021</v>
      </c>
      <c r="C154" s="4" t="s">
        <v>13</v>
      </c>
      <c r="D154" s="4" t="s">
        <v>14</v>
      </c>
      <c r="E154" s="5">
        <v>4582.8</v>
      </c>
      <c r="F154" s="7">
        <v>357190</v>
      </c>
      <c r="G154" s="7">
        <v>9399</v>
      </c>
      <c r="H154" s="4">
        <v>206</v>
      </c>
      <c r="I154" s="5">
        <v>22225.39</v>
      </c>
      <c r="J154" s="6">
        <v>481</v>
      </c>
      <c r="K154" s="6">
        <v>778</v>
      </c>
    </row>
    <row r="155" spans="1:11" ht="14.5" x14ac:dyDescent="0.35">
      <c r="A155" s="3">
        <v>44233</v>
      </c>
      <c r="B155" s="4">
        <v>2021</v>
      </c>
      <c r="C155" s="4" t="s">
        <v>13</v>
      </c>
      <c r="D155" s="4" t="s">
        <v>14</v>
      </c>
      <c r="E155" s="5">
        <v>5545.15</v>
      </c>
      <c r="F155" s="7">
        <v>394034</v>
      </c>
      <c r="G155" s="7">
        <v>6248</v>
      </c>
      <c r="H155" s="4">
        <v>159</v>
      </c>
      <c r="I155" s="5">
        <v>14018.92</v>
      </c>
      <c r="J155" s="6">
        <v>525</v>
      </c>
      <c r="K155" s="6">
        <v>855</v>
      </c>
    </row>
    <row r="156" spans="1:11" ht="14.5" x14ac:dyDescent="0.35">
      <c r="A156" s="3">
        <v>44233</v>
      </c>
      <c r="B156" s="4">
        <v>2021</v>
      </c>
      <c r="C156" s="4" t="s">
        <v>13</v>
      </c>
      <c r="D156" s="4" t="s">
        <v>16</v>
      </c>
      <c r="E156" s="5">
        <v>12447.54</v>
      </c>
      <c r="F156" s="7">
        <v>2364095</v>
      </c>
      <c r="G156" s="7">
        <v>37370</v>
      </c>
      <c r="H156" s="7">
        <v>1503</v>
      </c>
      <c r="I156" s="5">
        <v>158667.07</v>
      </c>
      <c r="J156" s="6">
        <v>845</v>
      </c>
      <c r="K156" s="8">
        <v>1415</v>
      </c>
    </row>
    <row r="157" spans="1:11" ht="14.5" x14ac:dyDescent="0.35">
      <c r="A157" s="3">
        <v>44240</v>
      </c>
      <c r="B157" s="4">
        <v>2021</v>
      </c>
      <c r="C157" s="4" t="s">
        <v>13</v>
      </c>
      <c r="D157" s="4" t="s">
        <v>14</v>
      </c>
      <c r="E157" s="5">
        <v>6187.7</v>
      </c>
      <c r="F157" s="7">
        <v>388879</v>
      </c>
      <c r="G157" s="7">
        <v>4712</v>
      </c>
      <c r="H157" s="4">
        <v>206</v>
      </c>
      <c r="I157" s="5">
        <v>25734.15</v>
      </c>
      <c r="J157" s="6">
        <v>565</v>
      </c>
      <c r="K157" s="6">
        <v>925</v>
      </c>
    </row>
    <row r="158" spans="1:11" ht="14.5" x14ac:dyDescent="0.35">
      <c r="A158" s="3">
        <v>44240</v>
      </c>
      <c r="B158" s="4">
        <v>2021</v>
      </c>
      <c r="C158" s="4" t="s">
        <v>13</v>
      </c>
      <c r="D158" s="4" t="s">
        <v>16</v>
      </c>
      <c r="E158" s="5">
        <v>12692.17</v>
      </c>
      <c r="F158" s="7">
        <v>5776389</v>
      </c>
      <c r="G158" s="7">
        <v>11248</v>
      </c>
      <c r="H158" s="4">
        <v>841</v>
      </c>
      <c r="I158" s="5">
        <v>58482</v>
      </c>
      <c r="J158" s="6">
        <v>853</v>
      </c>
      <c r="K158" s="8">
        <v>1429</v>
      </c>
    </row>
    <row r="159" spans="1:11" ht="14.5" x14ac:dyDescent="0.35">
      <c r="A159" s="3">
        <v>44247</v>
      </c>
      <c r="B159" s="4">
        <v>2021</v>
      </c>
      <c r="C159" s="4" t="s">
        <v>13</v>
      </c>
      <c r="D159" s="4" t="s">
        <v>14</v>
      </c>
      <c r="E159" s="5">
        <v>6434.93</v>
      </c>
      <c r="F159" s="7">
        <v>366891</v>
      </c>
      <c r="G159" s="7">
        <v>3952</v>
      </c>
      <c r="H159" s="4">
        <v>517</v>
      </c>
      <c r="I159" s="5">
        <v>56280.55</v>
      </c>
      <c r="J159" s="6">
        <v>569</v>
      </c>
      <c r="K159" s="6">
        <v>932</v>
      </c>
    </row>
    <row r="160" spans="1:11" ht="14.5" x14ac:dyDescent="0.35">
      <c r="A160" s="3">
        <v>44247</v>
      </c>
      <c r="B160" s="4">
        <v>2021</v>
      </c>
      <c r="C160" s="4" t="s">
        <v>13</v>
      </c>
      <c r="D160" s="4" t="s">
        <v>16</v>
      </c>
      <c r="E160" s="5">
        <v>12782.18</v>
      </c>
      <c r="F160" s="7">
        <v>747654</v>
      </c>
      <c r="G160" s="7">
        <v>16617</v>
      </c>
      <c r="H160" s="4">
        <v>517</v>
      </c>
      <c r="I160" s="5">
        <v>49821.91</v>
      </c>
      <c r="J160" s="6">
        <v>861</v>
      </c>
      <c r="K160" s="8">
        <v>1443</v>
      </c>
    </row>
    <row r="161" spans="1:11" ht="14.5" x14ac:dyDescent="0.35">
      <c r="A161" s="3">
        <v>44254</v>
      </c>
      <c r="B161" s="4">
        <v>2021</v>
      </c>
      <c r="C161" s="4" t="s">
        <v>13</v>
      </c>
      <c r="D161" s="4" t="s">
        <v>14</v>
      </c>
      <c r="E161" s="5">
        <v>6443.45</v>
      </c>
      <c r="F161" s="7">
        <v>385927</v>
      </c>
      <c r="G161" s="7">
        <v>3513</v>
      </c>
      <c r="H161" s="4">
        <v>484</v>
      </c>
      <c r="I161" s="5">
        <v>55132.32</v>
      </c>
      <c r="J161" s="6">
        <v>573</v>
      </c>
      <c r="K161" s="6">
        <v>939</v>
      </c>
    </row>
    <row r="162" spans="1:11" ht="14.5" x14ac:dyDescent="0.35">
      <c r="A162" s="3">
        <v>44254</v>
      </c>
      <c r="B162" s="4">
        <v>2021</v>
      </c>
      <c r="C162" s="4" t="s">
        <v>13</v>
      </c>
      <c r="D162" s="4" t="s">
        <v>16</v>
      </c>
      <c r="E162" s="5">
        <v>13106.32</v>
      </c>
      <c r="F162" s="7">
        <v>980281</v>
      </c>
      <c r="G162" s="7">
        <v>61056</v>
      </c>
      <c r="H162" s="4">
        <v>989</v>
      </c>
      <c r="I162" s="5">
        <v>104757.64</v>
      </c>
      <c r="J162" s="6">
        <v>865</v>
      </c>
      <c r="K162" s="8">
        <v>1450</v>
      </c>
    </row>
    <row r="163" spans="1:11" ht="14.5" x14ac:dyDescent="0.35">
      <c r="A163" s="3">
        <v>44261</v>
      </c>
      <c r="B163" s="4">
        <v>2021</v>
      </c>
      <c r="C163" s="4" t="s">
        <v>13</v>
      </c>
      <c r="D163" s="4" t="s">
        <v>14</v>
      </c>
      <c r="E163" s="5">
        <v>6541.05</v>
      </c>
      <c r="F163" s="7">
        <v>264447</v>
      </c>
      <c r="G163" s="4">
        <v>898</v>
      </c>
      <c r="H163" s="4">
        <v>368</v>
      </c>
      <c r="I163" s="5">
        <v>38208.519999999997</v>
      </c>
      <c r="J163" s="6">
        <v>581</v>
      </c>
      <c r="K163" s="6">
        <v>953</v>
      </c>
    </row>
    <row r="164" spans="1:11" ht="14.5" x14ac:dyDescent="0.35">
      <c r="A164" s="3">
        <v>44261</v>
      </c>
      <c r="B164" s="4">
        <v>2021</v>
      </c>
      <c r="C164" s="4" t="s">
        <v>13</v>
      </c>
      <c r="D164" s="4" t="s">
        <v>16</v>
      </c>
      <c r="E164" s="5">
        <v>13328.32</v>
      </c>
      <c r="F164" s="7">
        <v>1501644</v>
      </c>
      <c r="G164" s="7">
        <v>40467</v>
      </c>
      <c r="H164" s="4">
        <v>558</v>
      </c>
      <c r="I164" s="5">
        <v>49131.17</v>
      </c>
      <c r="J164" s="6">
        <v>873</v>
      </c>
      <c r="K164" s="8">
        <v>1464</v>
      </c>
    </row>
    <row r="165" spans="1:11" ht="14.5" x14ac:dyDescent="0.35">
      <c r="A165" s="3">
        <v>44268</v>
      </c>
      <c r="B165" s="4">
        <v>2021</v>
      </c>
      <c r="C165" s="4" t="s">
        <v>13</v>
      </c>
      <c r="D165" s="4" t="s">
        <v>16</v>
      </c>
      <c r="E165" s="5">
        <v>15422.17</v>
      </c>
      <c r="F165" s="7">
        <v>1475639</v>
      </c>
      <c r="G165" s="7">
        <v>49795</v>
      </c>
      <c r="H165" s="7">
        <v>1074</v>
      </c>
      <c r="I165" s="5">
        <v>91181.69</v>
      </c>
      <c r="J165" s="6">
        <v>921</v>
      </c>
      <c r="K165" s="8">
        <v>1548</v>
      </c>
    </row>
    <row r="166" spans="1:11" ht="14.5" x14ac:dyDescent="0.35">
      <c r="A166" s="3">
        <v>44268</v>
      </c>
      <c r="B166" s="4">
        <v>2021</v>
      </c>
      <c r="C166" s="4" t="s">
        <v>13</v>
      </c>
      <c r="D166" s="4" t="s">
        <v>14</v>
      </c>
      <c r="E166" s="5">
        <v>6778.77</v>
      </c>
      <c r="F166" s="7">
        <v>658557</v>
      </c>
      <c r="G166" s="7">
        <v>13341</v>
      </c>
      <c r="H166" s="4">
        <v>296</v>
      </c>
      <c r="I166" s="5">
        <v>30976.19</v>
      </c>
      <c r="J166" s="6">
        <v>601</v>
      </c>
      <c r="K166" s="6">
        <v>988</v>
      </c>
    </row>
    <row r="167" spans="1:11" ht="14.5" x14ac:dyDescent="0.35">
      <c r="A167" s="3">
        <v>44275</v>
      </c>
      <c r="B167" s="4">
        <v>2021</v>
      </c>
      <c r="C167" s="4" t="s">
        <v>13</v>
      </c>
      <c r="D167" s="4" t="s">
        <v>16</v>
      </c>
      <c r="E167" s="5">
        <v>15574.35</v>
      </c>
      <c r="F167" s="7">
        <v>524352</v>
      </c>
      <c r="G167" s="7">
        <v>3081</v>
      </c>
      <c r="H167" s="4">
        <v>30</v>
      </c>
      <c r="I167" s="5">
        <v>2492.63</v>
      </c>
      <c r="J167" s="6">
        <v>925</v>
      </c>
      <c r="K167" s="8">
        <v>1555</v>
      </c>
    </row>
    <row r="168" spans="1:11" ht="14.5" x14ac:dyDescent="0.35">
      <c r="A168" s="3">
        <v>44275</v>
      </c>
      <c r="B168" s="4">
        <v>2021</v>
      </c>
      <c r="C168" s="4" t="s">
        <v>13</v>
      </c>
      <c r="D168" s="4" t="s">
        <v>14</v>
      </c>
      <c r="E168" s="5">
        <v>7941.77</v>
      </c>
      <c r="F168" s="7">
        <v>721136</v>
      </c>
      <c r="G168" s="7">
        <v>14800</v>
      </c>
      <c r="H168" s="4">
        <v>554</v>
      </c>
      <c r="I168" s="5">
        <v>69487.009999999995</v>
      </c>
      <c r="J168" s="6">
        <v>649</v>
      </c>
      <c r="K168" s="8">
        <v>1072</v>
      </c>
    </row>
    <row r="169" spans="1:11" ht="14.5" x14ac:dyDescent="0.35">
      <c r="A169" s="3">
        <v>44282</v>
      </c>
      <c r="B169" s="4">
        <v>2021</v>
      </c>
      <c r="C169" s="4" t="s">
        <v>13</v>
      </c>
      <c r="D169" s="4" t="s">
        <v>14</v>
      </c>
      <c r="E169" s="5">
        <v>8682.27</v>
      </c>
      <c r="F169" s="7">
        <v>1190835</v>
      </c>
      <c r="G169" s="7">
        <v>4467</v>
      </c>
      <c r="H169" s="7">
        <v>1249</v>
      </c>
      <c r="I169" s="5">
        <v>134640.62</v>
      </c>
      <c r="J169" s="6">
        <v>689</v>
      </c>
      <c r="K169" s="8">
        <v>1142</v>
      </c>
    </row>
    <row r="170" spans="1:11" ht="14.5" x14ac:dyDescent="0.35">
      <c r="A170" s="3">
        <v>44282</v>
      </c>
      <c r="B170" s="4">
        <v>2021</v>
      </c>
      <c r="C170" s="4" t="s">
        <v>13</v>
      </c>
      <c r="D170" s="4" t="s">
        <v>16</v>
      </c>
      <c r="E170" s="5">
        <v>17057.849999999999</v>
      </c>
      <c r="F170" s="7">
        <v>10560377</v>
      </c>
      <c r="G170" s="7">
        <v>17966</v>
      </c>
      <c r="H170" s="4">
        <v>890</v>
      </c>
      <c r="I170" s="5">
        <v>50987.56</v>
      </c>
      <c r="J170" s="6">
        <v>949</v>
      </c>
      <c r="K170" s="8">
        <v>1597</v>
      </c>
    </row>
    <row r="171" spans="1:11" ht="14.5" x14ac:dyDescent="0.35">
      <c r="A171" s="3">
        <v>44289</v>
      </c>
      <c r="B171" s="4">
        <v>2021</v>
      </c>
      <c r="C171" s="4" t="s">
        <v>13</v>
      </c>
      <c r="D171" s="4" t="s">
        <v>14</v>
      </c>
      <c r="E171" s="5">
        <v>9510.35</v>
      </c>
      <c r="F171" s="7">
        <v>495217</v>
      </c>
      <c r="G171" s="7">
        <v>5714</v>
      </c>
      <c r="H171" s="4">
        <v>718</v>
      </c>
      <c r="I171" s="5">
        <v>75330.850000000006</v>
      </c>
      <c r="J171" s="6">
        <v>705</v>
      </c>
      <c r="K171" s="8">
        <v>1170</v>
      </c>
    </row>
    <row r="172" spans="1:11" ht="14.5" x14ac:dyDescent="0.35">
      <c r="A172" s="3">
        <v>44289</v>
      </c>
      <c r="B172" s="4">
        <v>2021</v>
      </c>
      <c r="C172" s="4" t="s">
        <v>13</v>
      </c>
      <c r="D172" s="4" t="s">
        <v>16</v>
      </c>
      <c r="E172" s="5">
        <v>17062.46</v>
      </c>
      <c r="F172" s="7">
        <v>1633858</v>
      </c>
      <c r="G172" s="7">
        <v>41342</v>
      </c>
      <c r="H172" s="4">
        <v>943</v>
      </c>
      <c r="I172" s="5">
        <v>71435.53</v>
      </c>
      <c r="J172" s="6">
        <v>953</v>
      </c>
      <c r="K172" s="8">
        <v>1604</v>
      </c>
    </row>
    <row r="173" spans="1:11" ht="14.5" x14ac:dyDescent="0.35">
      <c r="A173" s="3">
        <v>44296</v>
      </c>
      <c r="B173" s="4">
        <v>2021</v>
      </c>
      <c r="C173" s="4" t="s">
        <v>13</v>
      </c>
      <c r="D173" s="4" t="s">
        <v>14</v>
      </c>
      <c r="E173" s="5">
        <v>11184.22</v>
      </c>
      <c r="F173" s="7">
        <v>628943</v>
      </c>
      <c r="G173" s="7">
        <v>5616</v>
      </c>
      <c r="H173" s="4">
        <v>980</v>
      </c>
      <c r="I173" s="5">
        <v>106317.05</v>
      </c>
      <c r="J173" s="6">
        <v>765</v>
      </c>
      <c r="K173" s="8">
        <v>1275</v>
      </c>
    </row>
    <row r="174" spans="1:11" ht="14.5" x14ac:dyDescent="0.35">
      <c r="A174" s="3">
        <v>44296</v>
      </c>
      <c r="B174" s="4">
        <v>2021</v>
      </c>
      <c r="C174" s="4" t="s">
        <v>13</v>
      </c>
      <c r="D174" s="4" t="s">
        <v>16</v>
      </c>
      <c r="E174" s="5">
        <v>18603.810000000001</v>
      </c>
      <c r="F174" s="7">
        <v>1786299</v>
      </c>
      <c r="G174" s="7">
        <v>52726</v>
      </c>
      <c r="H174" s="7">
        <v>1023</v>
      </c>
      <c r="I174" s="5">
        <v>85156.08</v>
      </c>
      <c r="J174" s="6">
        <v>985</v>
      </c>
      <c r="K174" s="8">
        <v>1660</v>
      </c>
    </row>
    <row r="175" spans="1:11" ht="14.5" x14ac:dyDescent="0.35">
      <c r="A175" s="3">
        <v>44303</v>
      </c>
      <c r="B175" s="4">
        <v>2021</v>
      </c>
      <c r="C175" s="4" t="s">
        <v>13</v>
      </c>
      <c r="D175" s="4" t="s">
        <v>16</v>
      </c>
      <c r="E175" s="5">
        <v>20178.169999999998</v>
      </c>
      <c r="F175" s="7">
        <v>6520940</v>
      </c>
      <c r="G175" s="7">
        <v>18496</v>
      </c>
      <c r="H175" s="4">
        <v>998</v>
      </c>
      <c r="I175" s="5">
        <v>52679.56</v>
      </c>
      <c r="J175" s="8">
        <v>1021</v>
      </c>
      <c r="K175" s="8">
        <v>1723</v>
      </c>
    </row>
    <row r="176" spans="1:11" ht="14.5" x14ac:dyDescent="0.35">
      <c r="A176" s="3">
        <v>44303</v>
      </c>
      <c r="B176" s="4">
        <v>2021</v>
      </c>
      <c r="C176" s="4" t="s">
        <v>13</v>
      </c>
      <c r="D176" s="4" t="s">
        <v>14</v>
      </c>
      <c r="E176" s="5">
        <v>11263.39</v>
      </c>
      <c r="F176" s="7">
        <v>392715</v>
      </c>
      <c r="G176" s="7">
        <v>13230</v>
      </c>
      <c r="H176" s="4">
        <v>304</v>
      </c>
      <c r="I176" s="5">
        <v>26522.93</v>
      </c>
      <c r="J176" s="6">
        <v>773</v>
      </c>
      <c r="K176" s="8">
        <v>1289</v>
      </c>
    </row>
    <row r="177" spans="1:11" ht="14.5" x14ac:dyDescent="0.35">
      <c r="A177" s="3">
        <v>44310</v>
      </c>
      <c r="B177" s="4">
        <v>2021</v>
      </c>
      <c r="C177" s="4" t="s">
        <v>13</v>
      </c>
      <c r="D177" s="4" t="s">
        <v>14</v>
      </c>
      <c r="E177" s="5">
        <v>11288.53</v>
      </c>
      <c r="F177" s="7">
        <v>798778</v>
      </c>
      <c r="G177" s="7">
        <v>6025</v>
      </c>
      <c r="H177" s="4">
        <v>729</v>
      </c>
      <c r="I177" s="5">
        <v>71653.34</v>
      </c>
      <c r="J177" s="6">
        <v>781</v>
      </c>
      <c r="K177" s="8">
        <v>1303</v>
      </c>
    </row>
    <row r="178" spans="1:11" ht="14.5" x14ac:dyDescent="0.35">
      <c r="A178" s="3">
        <v>44310</v>
      </c>
      <c r="B178" s="4">
        <v>2021</v>
      </c>
      <c r="C178" s="4" t="s">
        <v>13</v>
      </c>
      <c r="D178" s="4" t="s">
        <v>16</v>
      </c>
      <c r="E178" s="5">
        <v>23735.51</v>
      </c>
      <c r="F178" s="7">
        <v>2653815</v>
      </c>
      <c r="G178" s="7">
        <v>57248</v>
      </c>
      <c r="H178" s="7">
        <v>1528</v>
      </c>
      <c r="I178" s="5">
        <v>106878.38</v>
      </c>
      <c r="J178" s="8">
        <v>1081</v>
      </c>
      <c r="K178" s="8">
        <v>1828</v>
      </c>
    </row>
    <row r="179" spans="1:11" ht="14.5" x14ac:dyDescent="0.35">
      <c r="A179" s="3">
        <v>44317</v>
      </c>
      <c r="B179" s="4">
        <v>2021</v>
      </c>
      <c r="C179" s="4" t="s">
        <v>13</v>
      </c>
      <c r="D179" s="4" t="s">
        <v>14</v>
      </c>
      <c r="E179" s="5">
        <v>11913.56</v>
      </c>
      <c r="F179" s="7">
        <v>1187282</v>
      </c>
      <c r="G179" s="7">
        <v>23471</v>
      </c>
      <c r="H179" s="4">
        <v>526</v>
      </c>
      <c r="I179" s="5">
        <v>46475.02</v>
      </c>
      <c r="J179" s="6">
        <v>809</v>
      </c>
      <c r="K179" s="8">
        <v>1352</v>
      </c>
    </row>
    <row r="180" spans="1:11" ht="14.5" x14ac:dyDescent="0.35">
      <c r="A180" s="3">
        <v>44317</v>
      </c>
      <c r="B180" s="4">
        <v>2021</v>
      </c>
      <c r="C180" s="4" t="s">
        <v>13</v>
      </c>
      <c r="D180" s="4" t="s">
        <v>16</v>
      </c>
      <c r="E180" s="5">
        <v>24586.69</v>
      </c>
      <c r="F180" s="7">
        <v>2335375</v>
      </c>
      <c r="G180" s="7">
        <v>85290</v>
      </c>
      <c r="H180" s="7">
        <v>1673</v>
      </c>
      <c r="I180" s="5">
        <v>144872.32000000001</v>
      </c>
      <c r="J180" s="8">
        <v>1113</v>
      </c>
      <c r="K180" s="8">
        <v>1884</v>
      </c>
    </row>
    <row r="181" spans="1:11" ht="14.5" x14ac:dyDescent="0.35">
      <c r="A181" s="3">
        <v>44324</v>
      </c>
      <c r="B181" s="4">
        <v>2021</v>
      </c>
      <c r="C181" s="4" t="s">
        <v>13</v>
      </c>
      <c r="D181" s="4" t="s">
        <v>16</v>
      </c>
      <c r="E181" s="5">
        <v>27487.200000000001</v>
      </c>
      <c r="F181" s="7">
        <v>2831813</v>
      </c>
      <c r="G181" s="7">
        <v>53932</v>
      </c>
      <c r="H181" s="4">
        <v>883</v>
      </c>
      <c r="I181" s="5">
        <v>78659.149999999994</v>
      </c>
      <c r="J181" s="8">
        <v>1157</v>
      </c>
      <c r="K181" s="8">
        <v>1961</v>
      </c>
    </row>
    <row r="182" spans="1:11" ht="14.5" x14ac:dyDescent="0.35">
      <c r="A182" s="3">
        <v>44324</v>
      </c>
      <c r="B182" s="4">
        <v>2021</v>
      </c>
      <c r="C182" s="4" t="s">
        <v>13</v>
      </c>
      <c r="D182" s="4" t="s">
        <v>14</v>
      </c>
      <c r="E182" s="5">
        <v>12064.84</v>
      </c>
      <c r="F182" s="7">
        <v>1264312</v>
      </c>
      <c r="G182" s="7">
        <v>15525</v>
      </c>
      <c r="H182" s="7">
        <v>3288</v>
      </c>
      <c r="I182" s="5">
        <v>264309.45</v>
      </c>
      <c r="J182" s="6">
        <v>817</v>
      </c>
      <c r="K182" s="8">
        <v>1366</v>
      </c>
    </row>
    <row r="183" spans="1:11" ht="14.5" x14ac:dyDescent="0.35">
      <c r="A183" s="3">
        <v>44331</v>
      </c>
      <c r="B183" s="4">
        <v>2021</v>
      </c>
      <c r="C183" s="4" t="s">
        <v>13</v>
      </c>
      <c r="D183" s="4" t="s">
        <v>14</v>
      </c>
      <c r="E183" s="5">
        <v>12195.18</v>
      </c>
      <c r="F183" s="7">
        <v>647043</v>
      </c>
      <c r="G183" s="7">
        <v>22903</v>
      </c>
      <c r="H183" s="4">
        <v>588</v>
      </c>
      <c r="I183" s="5">
        <v>69506.289999999994</v>
      </c>
      <c r="J183" s="6">
        <v>825</v>
      </c>
      <c r="K183" s="8">
        <v>1380</v>
      </c>
    </row>
    <row r="184" spans="1:11" ht="14.5" x14ac:dyDescent="0.35">
      <c r="A184" s="3">
        <v>44331</v>
      </c>
      <c r="B184" s="4">
        <v>2021</v>
      </c>
      <c r="C184" s="4" t="s">
        <v>13</v>
      </c>
      <c r="D184" s="4" t="s">
        <v>16</v>
      </c>
      <c r="E184" s="5">
        <v>27753.63</v>
      </c>
      <c r="F184" s="7">
        <v>2165955</v>
      </c>
      <c r="G184" s="7">
        <v>102170</v>
      </c>
      <c r="H184" s="7">
        <v>2367</v>
      </c>
      <c r="I184" s="5">
        <v>124323.99</v>
      </c>
      <c r="J184" s="8">
        <v>1161</v>
      </c>
      <c r="K184" s="8">
        <v>1968</v>
      </c>
    </row>
    <row r="185" spans="1:11" ht="14.5" x14ac:dyDescent="0.35">
      <c r="A185" s="3">
        <v>44338</v>
      </c>
      <c r="B185" s="4">
        <v>2021</v>
      </c>
      <c r="C185" s="4" t="s">
        <v>13</v>
      </c>
      <c r="D185" s="4" t="s">
        <v>16</v>
      </c>
      <c r="E185" s="5">
        <v>28055.19</v>
      </c>
      <c r="F185" s="7">
        <v>1533959</v>
      </c>
      <c r="G185" s="7">
        <v>50668</v>
      </c>
      <c r="H185" s="7">
        <v>1389</v>
      </c>
      <c r="I185" s="5">
        <v>104305.34</v>
      </c>
      <c r="J185" s="8">
        <v>1165</v>
      </c>
      <c r="K185" s="8">
        <v>1975</v>
      </c>
    </row>
    <row r="186" spans="1:11" ht="14.5" x14ac:dyDescent="0.35">
      <c r="A186" s="3">
        <v>44338</v>
      </c>
      <c r="B186" s="4">
        <v>2021</v>
      </c>
      <c r="C186" s="4" t="s">
        <v>13</v>
      </c>
      <c r="D186" s="4" t="s">
        <v>14</v>
      </c>
      <c r="E186" s="5">
        <v>12201.14</v>
      </c>
      <c r="F186" s="7">
        <v>863483</v>
      </c>
      <c r="G186" s="7">
        <v>26260</v>
      </c>
      <c r="H186" s="4">
        <v>562</v>
      </c>
      <c r="I186" s="5">
        <v>63866.71</v>
      </c>
      <c r="J186" s="6">
        <v>829</v>
      </c>
      <c r="K186" s="8">
        <v>1387</v>
      </c>
    </row>
    <row r="187" spans="1:11" ht="14.5" x14ac:dyDescent="0.35">
      <c r="A187" s="3">
        <v>44345</v>
      </c>
      <c r="B187" s="4">
        <v>2021</v>
      </c>
      <c r="C187" s="4" t="s">
        <v>13</v>
      </c>
      <c r="D187" s="4" t="s">
        <v>16</v>
      </c>
      <c r="E187" s="5">
        <v>29189.32</v>
      </c>
      <c r="F187" s="7">
        <v>497467</v>
      </c>
      <c r="G187" s="7">
        <v>16033</v>
      </c>
      <c r="H187" s="4">
        <v>798</v>
      </c>
      <c r="I187" s="5">
        <v>60275.81</v>
      </c>
      <c r="J187" s="8">
        <v>1181</v>
      </c>
      <c r="K187" s="8">
        <v>2003</v>
      </c>
    </row>
    <row r="188" spans="1:11" ht="14.5" x14ac:dyDescent="0.35">
      <c r="A188" s="3">
        <v>44345</v>
      </c>
      <c r="B188" s="4">
        <v>2021</v>
      </c>
      <c r="C188" s="4" t="s">
        <v>13</v>
      </c>
      <c r="D188" s="4" t="s">
        <v>14</v>
      </c>
      <c r="E188" s="5">
        <v>14757.07</v>
      </c>
      <c r="F188" s="7">
        <v>1646322</v>
      </c>
      <c r="G188" s="7">
        <v>29227</v>
      </c>
      <c r="H188" s="4">
        <v>712</v>
      </c>
      <c r="I188" s="5">
        <v>73420.7</v>
      </c>
      <c r="J188" s="6">
        <v>913</v>
      </c>
      <c r="K188" s="8">
        <v>1534</v>
      </c>
    </row>
    <row r="189" spans="1:11" ht="14.5" x14ac:dyDescent="0.35">
      <c r="A189" s="3">
        <v>44352</v>
      </c>
      <c r="B189" s="4">
        <v>2021</v>
      </c>
      <c r="C189" s="4" t="s">
        <v>13</v>
      </c>
      <c r="D189" s="4" t="s">
        <v>14</v>
      </c>
      <c r="E189" s="5">
        <v>17687.97</v>
      </c>
      <c r="F189" s="7">
        <v>782374</v>
      </c>
      <c r="G189" s="7">
        <v>11846</v>
      </c>
      <c r="H189" s="4">
        <v>659</v>
      </c>
      <c r="I189" s="5">
        <v>70431.94</v>
      </c>
      <c r="J189" s="6">
        <v>965</v>
      </c>
      <c r="K189" s="8">
        <v>1625</v>
      </c>
    </row>
    <row r="190" spans="1:11" ht="14.5" x14ac:dyDescent="0.35">
      <c r="A190" s="3">
        <v>44352</v>
      </c>
      <c r="B190" s="4">
        <v>2021</v>
      </c>
      <c r="C190" s="4" t="s">
        <v>13</v>
      </c>
      <c r="D190" s="4" t="s">
        <v>16</v>
      </c>
      <c r="E190" s="5">
        <v>29570.09</v>
      </c>
      <c r="F190" s="7">
        <v>2849030</v>
      </c>
      <c r="G190" s="7">
        <v>69383</v>
      </c>
      <c r="H190" s="7">
        <v>1497</v>
      </c>
      <c r="I190" s="5">
        <v>122665.93</v>
      </c>
      <c r="J190" s="8">
        <v>1201</v>
      </c>
      <c r="K190" s="8">
        <v>2038</v>
      </c>
    </row>
    <row r="191" spans="1:11" ht="14.5" x14ac:dyDescent="0.35">
      <c r="A191" s="3">
        <v>44359</v>
      </c>
      <c r="B191" s="4">
        <v>2021</v>
      </c>
      <c r="C191" s="4" t="s">
        <v>13</v>
      </c>
      <c r="D191" s="4" t="s">
        <v>17</v>
      </c>
      <c r="E191" s="5">
        <v>175.59</v>
      </c>
      <c r="F191" s="7">
        <v>7851</v>
      </c>
      <c r="G191" s="4">
        <v>382</v>
      </c>
      <c r="H191" s="4">
        <v>28</v>
      </c>
      <c r="I191" s="5">
        <v>3123.02</v>
      </c>
      <c r="J191" s="6">
        <v>41</v>
      </c>
      <c r="K191" s="6">
        <v>48</v>
      </c>
    </row>
    <row r="192" spans="1:11" ht="14.5" x14ac:dyDescent="0.35">
      <c r="A192" s="3">
        <v>44359</v>
      </c>
      <c r="B192" s="4">
        <v>2021</v>
      </c>
      <c r="C192" s="4" t="s">
        <v>13</v>
      </c>
      <c r="D192" s="4" t="s">
        <v>16</v>
      </c>
      <c r="E192" s="5">
        <v>31977.599999999999</v>
      </c>
      <c r="F192" s="7">
        <v>965671</v>
      </c>
      <c r="G192" s="7">
        <v>21890</v>
      </c>
      <c r="H192" s="4">
        <v>804</v>
      </c>
      <c r="I192" s="5">
        <v>66857.259999999995</v>
      </c>
      <c r="J192" s="8">
        <v>1265</v>
      </c>
      <c r="K192" s="8">
        <v>2150</v>
      </c>
    </row>
    <row r="193" spans="1:11" ht="14.5" x14ac:dyDescent="0.35">
      <c r="A193" s="3">
        <v>44359</v>
      </c>
      <c r="B193" s="4">
        <v>2021</v>
      </c>
      <c r="C193" s="4" t="s">
        <v>13</v>
      </c>
      <c r="D193" s="4" t="s">
        <v>14</v>
      </c>
      <c r="E193" s="5">
        <v>18761.25</v>
      </c>
      <c r="F193" s="7">
        <v>2615629</v>
      </c>
      <c r="G193" s="7">
        <v>9859</v>
      </c>
      <c r="H193" s="7">
        <v>4267</v>
      </c>
      <c r="I193" s="5">
        <v>471521.34</v>
      </c>
      <c r="J193" s="6">
        <v>989</v>
      </c>
      <c r="K193" s="8">
        <v>1667</v>
      </c>
    </row>
    <row r="194" spans="1:11" ht="14.5" x14ac:dyDescent="0.35">
      <c r="A194" s="3">
        <v>44366</v>
      </c>
      <c r="B194" s="4">
        <v>2021</v>
      </c>
      <c r="C194" s="4" t="s">
        <v>13</v>
      </c>
      <c r="D194" s="4" t="s">
        <v>17</v>
      </c>
      <c r="E194" s="5">
        <v>793.83</v>
      </c>
      <c r="F194" s="7">
        <v>39238</v>
      </c>
      <c r="G194" s="7">
        <v>1443</v>
      </c>
      <c r="H194" s="4">
        <v>34</v>
      </c>
      <c r="I194" s="5">
        <v>3388.49</v>
      </c>
      <c r="J194" s="6">
        <v>153</v>
      </c>
      <c r="K194" s="6">
        <v>204</v>
      </c>
    </row>
    <row r="195" spans="1:11" ht="14.5" x14ac:dyDescent="0.35">
      <c r="A195" s="3">
        <v>44366</v>
      </c>
      <c r="B195" s="4">
        <v>2021</v>
      </c>
      <c r="C195" s="4" t="s">
        <v>13</v>
      </c>
      <c r="D195" s="4" t="s">
        <v>14</v>
      </c>
      <c r="E195" s="5">
        <v>22575.85</v>
      </c>
      <c r="F195" s="7">
        <v>1496451</v>
      </c>
      <c r="G195" s="7">
        <v>9313</v>
      </c>
      <c r="H195" s="7">
        <v>1105</v>
      </c>
      <c r="I195" s="5">
        <v>97471.29</v>
      </c>
      <c r="J195" s="8">
        <v>1057</v>
      </c>
      <c r="K195" s="8">
        <v>1786</v>
      </c>
    </row>
    <row r="196" spans="1:11" ht="14.5" x14ac:dyDescent="0.35">
      <c r="A196" s="3">
        <v>44366</v>
      </c>
      <c r="B196" s="4">
        <v>2021</v>
      </c>
      <c r="C196" s="4" t="s">
        <v>13</v>
      </c>
      <c r="D196" s="4" t="s">
        <v>16</v>
      </c>
      <c r="E196" s="5">
        <v>32622.12</v>
      </c>
      <c r="F196" s="7">
        <v>1777599</v>
      </c>
      <c r="G196" s="7">
        <v>51195</v>
      </c>
      <c r="H196" s="7">
        <v>1149</v>
      </c>
      <c r="I196" s="5">
        <v>101034.79</v>
      </c>
      <c r="J196" s="8">
        <v>1277</v>
      </c>
      <c r="K196" s="8">
        <v>2171</v>
      </c>
    </row>
    <row r="197" spans="1:11" ht="14.5" x14ac:dyDescent="0.35">
      <c r="A197" s="3">
        <v>44373</v>
      </c>
      <c r="B197" s="4">
        <v>2021</v>
      </c>
      <c r="C197" s="4" t="s">
        <v>13</v>
      </c>
      <c r="D197" s="4" t="s">
        <v>17</v>
      </c>
      <c r="E197" s="5">
        <v>795.73</v>
      </c>
      <c r="F197" s="7">
        <v>25767</v>
      </c>
      <c r="G197" s="7">
        <v>1220</v>
      </c>
      <c r="H197" s="4">
        <v>26</v>
      </c>
      <c r="I197" s="5">
        <v>2000.58</v>
      </c>
      <c r="J197" s="6">
        <v>157</v>
      </c>
      <c r="K197" s="6">
        <v>211</v>
      </c>
    </row>
    <row r="198" spans="1:11" ht="14.5" x14ac:dyDescent="0.35">
      <c r="A198" s="3">
        <v>44373</v>
      </c>
      <c r="B198" s="4">
        <v>2021</v>
      </c>
      <c r="C198" s="4" t="s">
        <v>13</v>
      </c>
      <c r="D198" s="4" t="s">
        <v>16</v>
      </c>
      <c r="E198" s="5">
        <v>33845.120000000003</v>
      </c>
      <c r="F198" s="7">
        <v>1890147</v>
      </c>
      <c r="G198" s="7">
        <v>53880</v>
      </c>
      <c r="H198" s="7">
        <v>1032</v>
      </c>
      <c r="I198" s="5">
        <v>93461.01</v>
      </c>
      <c r="J198" s="8">
        <v>1293</v>
      </c>
      <c r="K198" s="8">
        <v>2199</v>
      </c>
    </row>
    <row r="199" spans="1:11" ht="14.5" x14ac:dyDescent="0.35">
      <c r="A199" s="3">
        <v>44373</v>
      </c>
      <c r="B199" s="4">
        <v>2021</v>
      </c>
      <c r="C199" s="4" t="s">
        <v>13</v>
      </c>
      <c r="D199" s="4" t="s">
        <v>14</v>
      </c>
      <c r="E199" s="5">
        <v>23550.14</v>
      </c>
      <c r="F199" s="7">
        <v>1620096</v>
      </c>
      <c r="G199" s="7">
        <v>33454</v>
      </c>
      <c r="H199" s="7">
        <v>3839</v>
      </c>
      <c r="I199" s="5">
        <v>304216.81</v>
      </c>
      <c r="J199" s="8">
        <v>1073</v>
      </c>
      <c r="K199" s="8">
        <v>1814</v>
      </c>
    </row>
    <row r="200" spans="1:11" ht="14.5" x14ac:dyDescent="0.35">
      <c r="A200" s="3">
        <v>44380</v>
      </c>
      <c r="B200" s="4">
        <v>2021</v>
      </c>
      <c r="C200" s="4" t="s">
        <v>13</v>
      </c>
      <c r="D200" s="4" t="s">
        <v>17</v>
      </c>
      <c r="E200" s="5">
        <v>1344.7</v>
      </c>
      <c r="F200" s="7">
        <v>47515</v>
      </c>
      <c r="G200" s="7">
        <v>1880</v>
      </c>
      <c r="H200" s="4">
        <v>38</v>
      </c>
      <c r="I200" s="5">
        <v>4866.6499999999996</v>
      </c>
      <c r="J200" s="6">
        <v>257</v>
      </c>
      <c r="K200" s="6">
        <v>386</v>
      </c>
    </row>
    <row r="201" spans="1:11" ht="14.5" x14ac:dyDescent="0.35">
      <c r="A201" s="3">
        <v>44380</v>
      </c>
      <c r="B201" s="4">
        <v>2021</v>
      </c>
      <c r="C201" s="4" t="s">
        <v>13</v>
      </c>
      <c r="D201" s="4" t="s">
        <v>14</v>
      </c>
      <c r="E201" s="5">
        <v>24514.959999999999</v>
      </c>
      <c r="F201" s="7">
        <v>1632228</v>
      </c>
      <c r="G201" s="7">
        <v>25541</v>
      </c>
      <c r="H201" s="4">
        <v>429</v>
      </c>
      <c r="I201" s="5">
        <v>41070.26</v>
      </c>
      <c r="J201" s="8">
        <v>1101</v>
      </c>
      <c r="K201" s="8">
        <v>1863</v>
      </c>
    </row>
    <row r="202" spans="1:11" ht="14.5" x14ac:dyDescent="0.35">
      <c r="A202" s="3">
        <v>44380</v>
      </c>
      <c r="B202" s="4">
        <v>2021</v>
      </c>
      <c r="C202" s="4" t="s">
        <v>13</v>
      </c>
      <c r="D202" s="4" t="s">
        <v>16</v>
      </c>
      <c r="E202" s="5">
        <v>35663.78</v>
      </c>
      <c r="F202" s="7">
        <v>4086767</v>
      </c>
      <c r="G202" s="7">
        <v>140129</v>
      </c>
      <c r="H202" s="7">
        <v>2040</v>
      </c>
      <c r="I202" s="5">
        <v>166427.34</v>
      </c>
      <c r="J202" s="8">
        <v>1313</v>
      </c>
      <c r="K202" s="8">
        <v>2234</v>
      </c>
    </row>
    <row r="203" spans="1:11" ht="14.5" x14ac:dyDescent="0.35">
      <c r="A203" s="3">
        <v>44387</v>
      </c>
      <c r="B203" s="4">
        <v>2021</v>
      </c>
      <c r="C203" s="4" t="s">
        <v>13</v>
      </c>
      <c r="D203" s="4" t="s">
        <v>17</v>
      </c>
      <c r="E203" s="5">
        <v>1345.45</v>
      </c>
      <c r="F203" s="7">
        <v>50314</v>
      </c>
      <c r="G203" s="7">
        <v>2114</v>
      </c>
      <c r="H203" s="4">
        <v>58</v>
      </c>
      <c r="I203" s="5">
        <v>7356.14</v>
      </c>
      <c r="J203" s="6">
        <v>261</v>
      </c>
      <c r="K203" s="6">
        <v>393</v>
      </c>
    </row>
    <row r="204" spans="1:11" ht="14.5" x14ac:dyDescent="0.35">
      <c r="A204" s="3">
        <v>44387</v>
      </c>
      <c r="B204" s="4">
        <v>2021</v>
      </c>
      <c r="C204" s="4" t="s">
        <v>13</v>
      </c>
      <c r="D204" s="4" t="s">
        <v>16</v>
      </c>
      <c r="E204" s="5">
        <v>35942.120000000003</v>
      </c>
      <c r="F204" s="7">
        <v>3910496</v>
      </c>
      <c r="G204" s="7">
        <v>73187</v>
      </c>
      <c r="H204" s="7">
        <v>1560</v>
      </c>
      <c r="I204" s="5">
        <v>147527.26</v>
      </c>
      <c r="J204" s="8">
        <v>1321</v>
      </c>
      <c r="K204" s="8">
        <v>2248</v>
      </c>
    </row>
    <row r="205" spans="1:11" ht="14.5" x14ac:dyDescent="0.35">
      <c r="A205" s="3">
        <v>44387</v>
      </c>
      <c r="B205" s="4">
        <v>2021</v>
      </c>
      <c r="C205" s="4" t="s">
        <v>13</v>
      </c>
      <c r="D205" s="4" t="s">
        <v>14</v>
      </c>
      <c r="E205" s="5">
        <v>26942.880000000001</v>
      </c>
      <c r="F205" s="7">
        <v>1773875</v>
      </c>
      <c r="G205" s="7">
        <v>33307</v>
      </c>
      <c r="H205" s="7">
        <v>1461</v>
      </c>
      <c r="I205" s="5">
        <v>173888.85</v>
      </c>
      <c r="J205" s="8">
        <v>1145</v>
      </c>
      <c r="K205" s="8">
        <v>1940</v>
      </c>
    </row>
    <row r="206" spans="1:11" ht="14.5" x14ac:dyDescent="0.35">
      <c r="A206" s="3">
        <v>44394</v>
      </c>
      <c r="B206" s="4">
        <v>2021</v>
      </c>
      <c r="C206" s="4" t="s">
        <v>13</v>
      </c>
      <c r="D206" s="4" t="s">
        <v>17</v>
      </c>
      <c r="E206" s="5">
        <v>2274.56</v>
      </c>
      <c r="F206" s="7">
        <v>99532</v>
      </c>
      <c r="G206" s="7">
        <v>4406</v>
      </c>
      <c r="H206" s="4">
        <v>161</v>
      </c>
      <c r="I206" s="5">
        <v>14684.12</v>
      </c>
      <c r="J206" s="6">
        <v>365</v>
      </c>
      <c r="K206" s="6">
        <v>575</v>
      </c>
    </row>
    <row r="207" spans="1:11" ht="14.5" x14ac:dyDescent="0.35">
      <c r="A207" s="3">
        <v>44394</v>
      </c>
      <c r="B207" s="4">
        <v>2021</v>
      </c>
      <c r="C207" s="4" t="s">
        <v>13</v>
      </c>
      <c r="D207" s="4" t="s">
        <v>16</v>
      </c>
      <c r="E207" s="5">
        <v>38209.31</v>
      </c>
      <c r="F207" s="7">
        <v>2756147</v>
      </c>
      <c r="G207" s="7">
        <v>73855</v>
      </c>
      <c r="H207" s="7">
        <v>2045</v>
      </c>
      <c r="I207" s="5">
        <v>164696.07999999999</v>
      </c>
      <c r="J207" s="8">
        <v>1349</v>
      </c>
      <c r="K207" s="8">
        <v>2297</v>
      </c>
    </row>
    <row r="208" spans="1:11" ht="14.5" x14ac:dyDescent="0.35">
      <c r="A208" s="3">
        <v>44394</v>
      </c>
      <c r="B208" s="4">
        <v>2021</v>
      </c>
      <c r="C208" s="4" t="s">
        <v>13</v>
      </c>
      <c r="D208" s="4" t="s">
        <v>14</v>
      </c>
      <c r="E208" s="5">
        <v>28633.05</v>
      </c>
      <c r="F208" s="7">
        <v>2090947</v>
      </c>
      <c r="G208" s="7">
        <v>47136</v>
      </c>
      <c r="H208" s="7">
        <v>4870</v>
      </c>
      <c r="I208" s="5">
        <v>345086.98</v>
      </c>
      <c r="J208" s="8">
        <v>1169</v>
      </c>
      <c r="K208" s="8">
        <v>1982</v>
      </c>
    </row>
    <row r="209" spans="1:11" ht="14.5" x14ac:dyDescent="0.35">
      <c r="A209" s="3">
        <v>44401</v>
      </c>
      <c r="B209" s="4">
        <v>2021</v>
      </c>
      <c r="C209" s="4" t="s">
        <v>13</v>
      </c>
      <c r="D209" s="4" t="s">
        <v>17</v>
      </c>
      <c r="E209" s="5">
        <v>8423.9500000000007</v>
      </c>
      <c r="F209" s="7">
        <v>245483</v>
      </c>
      <c r="G209" s="7">
        <v>7053</v>
      </c>
      <c r="H209" s="4">
        <v>374</v>
      </c>
      <c r="I209" s="5">
        <v>36838.839999999997</v>
      </c>
      <c r="J209" s="6">
        <v>673</v>
      </c>
      <c r="K209" s="8">
        <v>1114</v>
      </c>
    </row>
    <row r="210" spans="1:11" ht="14.5" x14ac:dyDescent="0.35">
      <c r="A210" s="3">
        <v>44401</v>
      </c>
      <c r="B210" s="4">
        <v>2021</v>
      </c>
      <c r="C210" s="4" t="s">
        <v>13</v>
      </c>
      <c r="D210" s="4" t="s">
        <v>16</v>
      </c>
      <c r="E210" s="5">
        <v>42703.13</v>
      </c>
      <c r="F210" s="7">
        <v>2577136</v>
      </c>
      <c r="G210" s="7">
        <v>58637</v>
      </c>
      <c r="H210" s="4">
        <v>848</v>
      </c>
      <c r="I210" s="5">
        <v>100662.71</v>
      </c>
      <c r="J210" s="8">
        <v>1409</v>
      </c>
      <c r="K210" s="8">
        <v>2402</v>
      </c>
    </row>
    <row r="211" spans="1:11" ht="14.5" x14ac:dyDescent="0.35">
      <c r="A211" s="3">
        <v>44401</v>
      </c>
      <c r="B211" s="4">
        <v>2021</v>
      </c>
      <c r="C211" s="4" t="s">
        <v>13</v>
      </c>
      <c r="D211" s="4" t="s">
        <v>14</v>
      </c>
      <c r="E211" s="5">
        <v>28648.27</v>
      </c>
      <c r="F211" s="7">
        <v>1287135</v>
      </c>
      <c r="G211" s="7">
        <v>45283</v>
      </c>
      <c r="H211" s="7">
        <v>2488</v>
      </c>
      <c r="I211" s="5">
        <v>224803.07</v>
      </c>
      <c r="J211" s="8">
        <v>1173</v>
      </c>
      <c r="K211" s="8">
        <v>1989</v>
      </c>
    </row>
    <row r="212" spans="1:11" ht="14.5" x14ac:dyDescent="0.35">
      <c r="A212" s="3">
        <v>44408</v>
      </c>
      <c r="B212" s="4">
        <v>2021</v>
      </c>
      <c r="C212" s="4" t="s">
        <v>13</v>
      </c>
      <c r="D212" s="4" t="s">
        <v>17</v>
      </c>
      <c r="E212" s="5">
        <v>11511.06</v>
      </c>
      <c r="F212" s="7">
        <v>759417</v>
      </c>
      <c r="G212" s="7">
        <v>27326</v>
      </c>
      <c r="H212" s="7">
        <v>1178</v>
      </c>
      <c r="I212" s="5">
        <v>86017.36</v>
      </c>
      <c r="J212" s="6">
        <v>797</v>
      </c>
      <c r="K212" s="8">
        <v>1331</v>
      </c>
    </row>
    <row r="213" spans="1:11" ht="14.5" x14ac:dyDescent="0.35">
      <c r="A213" s="3">
        <v>44408</v>
      </c>
      <c r="B213" s="4">
        <v>2021</v>
      </c>
      <c r="C213" s="4" t="s">
        <v>13</v>
      </c>
      <c r="D213" s="4" t="s">
        <v>16</v>
      </c>
      <c r="E213" s="5">
        <v>43812.1</v>
      </c>
      <c r="F213" s="7">
        <v>5002063</v>
      </c>
      <c r="G213" s="7">
        <v>105544</v>
      </c>
      <c r="H213" s="7">
        <v>1373</v>
      </c>
      <c r="I213" s="5">
        <v>139841.99</v>
      </c>
      <c r="J213" s="8">
        <v>1445</v>
      </c>
      <c r="K213" s="8">
        <v>2465</v>
      </c>
    </row>
    <row r="214" spans="1:11" ht="14.5" x14ac:dyDescent="0.35">
      <c r="A214" s="3">
        <v>44408</v>
      </c>
      <c r="B214" s="4">
        <v>2021</v>
      </c>
      <c r="C214" s="4" t="s">
        <v>13</v>
      </c>
      <c r="D214" s="4" t="s">
        <v>14</v>
      </c>
      <c r="E214" s="5">
        <v>40913.74</v>
      </c>
      <c r="F214" s="7">
        <v>1908920</v>
      </c>
      <c r="G214" s="7">
        <v>31575</v>
      </c>
      <c r="H214" s="7">
        <v>2817</v>
      </c>
      <c r="I214" s="5">
        <v>310575.92</v>
      </c>
      <c r="J214" s="8">
        <v>1393</v>
      </c>
      <c r="K214" s="8">
        <v>2374</v>
      </c>
    </row>
    <row r="215" spans="1:11" ht="14.5" x14ac:dyDescent="0.35">
      <c r="A215" s="3">
        <v>44415</v>
      </c>
      <c r="B215" s="4">
        <v>2021</v>
      </c>
      <c r="C215" s="4" t="s">
        <v>13</v>
      </c>
      <c r="D215" s="4" t="s">
        <v>17</v>
      </c>
      <c r="E215" s="5">
        <v>13958.13</v>
      </c>
      <c r="F215" s="7">
        <v>942350</v>
      </c>
      <c r="G215" s="7">
        <v>33570</v>
      </c>
      <c r="H215" s="4">
        <v>785</v>
      </c>
      <c r="I215" s="5">
        <v>85857.5</v>
      </c>
      <c r="J215" s="6">
        <v>901</v>
      </c>
      <c r="K215" s="8">
        <v>1513</v>
      </c>
    </row>
    <row r="216" spans="1:11" ht="14.5" x14ac:dyDescent="0.35">
      <c r="A216" s="3">
        <v>44415</v>
      </c>
      <c r="B216" s="4">
        <v>2021</v>
      </c>
      <c r="C216" s="4" t="s">
        <v>13</v>
      </c>
      <c r="D216" s="4" t="s">
        <v>16</v>
      </c>
      <c r="E216" s="5">
        <v>44040.43</v>
      </c>
      <c r="F216" s="7">
        <v>4910066</v>
      </c>
      <c r="G216" s="7">
        <v>104584</v>
      </c>
      <c r="H216" s="7">
        <v>1585</v>
      </c>
      <c r="I216" s="5">
        <v>129772.84</v>
      </c>
      <c r="J216" s="8">
        <v>1449</v>
      </c>
      <c r="K216" s="8">
        <v>2472</v>
      </c>
    </row>
    <row r="217" spans="1:11" ht="14.5" x14ac:dyDescent="0.35">
      <c r="A217" s="3">
        <v>44415</v>
      </c>
      <c r="B217" s="4">
        <v>2021</v>
      </c>
      <c r="C217" s="4" t="s">
        <v>13</v>
      </c>
      <c r="D217" s="4" t="s">
        <v>14</v>
      </c>
      <c r="E217" s="5">
        <v>45590.76</v>
      </c>
      <c r="F217" s="7">
        <v>3456531</v>
      </c>
      <c r="G217" s="7">
        <v>45689</v>
      </c>
      <c r="H217" s="7">
        <v>1953</v>
      </c>
      <c r="I217" s="5">
        <v>203464.25</v>
      </c>
      <c r="J217" s="8">
        <v>1461</v>
      </c>
      <c r="K217" s="8">
        <v>2493</v>
      </c>
    </row>
    <row r="218" spans="1:11" ht="14.5" x14ac:dyDescent="0.35">
      <c r="A218" s="3">
        <v>44422</v>
      </c>
      <c r="B218" s="4">
        <v>2021</v>
      </c>
      <c r="C218" s="4" t="s">
        <v>13</v>
      </c>
      <c r="D218" s="4" t="s">
        <v>16</v>
      </c>
      <c r="E218" s="5">
        <v>48816.46</v>
      </c>
      <c r="F218" s="7">
        <v>2978044</v>
      </c>
      <c r="G218" s="7">
        <v>93198</v>
      </c>
      <c r="H218" s="7">
        <v>1364</v>
      </c>
      <c r="I218" s="5">
        <v>117070.73</v>
      </c>
      <c r="J218" s="8">
        <v>1485</v>
      </c>
      <c r="K218" s="8">
        <v>2535</v>
      </c>
    </row>
    <row r="219" spans="1:11" ht="14.5" x14ac:dyDescent="0.35">
      <c r="A219" s="3">
        <v>44422</v>
      </c>
      <c r="B219" s="4">
        <v>2021</v>
      </c>
      <c r="C219" s="4" t="s">
        <v>13</v>
      </c>
      <c r="D219" s="4" t="s">
        <v>14</v>
      </c>
      <c r="E219" s="5">
        <v>46414.83</v>
      </c>
      <c r="F219" s="7">
        <v>2786064</v>
      </c>
      <c r="G219" s="7">
        <v>69982</v>
      </c>
      <c r="H219" s="7">
        <v>3521</v>
      </c>
      <c r="I219" s="5">
        <v>354393.1</v>
      </c>
      <c r="J219" s="8">
        <v>1465</v>
      </c>
      <c r="K219" s="8">
        <v>2500</v>
      </c>
    </row>
    <row r="220" spans="1:11" ht="14.5" x14ac:dyDescent="0.35">
      <c r="A220" s="3">
        <v>44422</v>
      </c>
      <c r="B220" s="4">
        <v>2021</v>
      </c>
      <c r="C220" s="4" t="s">
        <v>13</v>
      </c>
      <c r="D220" s="4" t="s">
        <v>17</v>
      </c>
      <c r="E220" s="5">
        <v>20645.38</v>
      </c>
      <c r="F220" s="7">
        <v>1938606</v>
      </c>
      <c r="G220" s="7">
        <v>86752</v>
      </c>
      <c r="H220" s="7">
        <v>1658</v>
      </c>
      <c r="I220" s="5">
        <v>138615.41</v>
      </c>
      <c r="J220" s="8">
        <v>1029</v>
      </c>
      <c r="K220" s="8">
        <v>1737</v>
      </c>
    </row>
    <row r="221" spans="1:11" ht="14.5" x14ac:dyDescent="0.35">
      <c r="A221" s="3">
        <v>44429</v>
      </c>
      <c r="B221" s="4">
        <v>2021</v>
      </c>
      <c r="C221" s="4" t="s">
        <v>11</v>
      </c>
      <c r="D221" s="4" t="s">
        <v>12</v>
      </c>
      <c r="E221" s="5">
        <v>29.22</v>
      </c>
      <c r="F221" s="4">
        <v>161</v>
      </c>
      <c r="G221" s="4">
        <v>1.38</v>
      </c>
      <c r="H221" s="4">
        <v>32</v>
      </c>
      <c r="I221" s="5">
        <v>252.48</v>
      </c>
      <c r="J221" s="6">
        <v>53</v>
      </c>
      <c r="K221" s="6">
        <v>65</v>
      </c>
    </row>
    <row r="222" spans="1:11" ht="14.5" x14ac:dyDescent="0.35">
      <c r="A222" s="3">
        <v>44429</v>
      </c>
      <c r="B222" s="4">
        <v>2021</v>
      </c>
      <c r="C222" s="4" t="s">
        <v>13</v>
      </c>
      <c r="D222" s="4" t="s">
        <v>18</v>
      </c>
      <c r="E222" s="5">
        <v>279.7</v>
      </c>
      <c r="F222" s="7">
        <v>12367</v>
      </c>
      <c r="G222" s="4">
        <v>220</v>
      </c>
      <c r="H222" s="4">
        <v>6</v>
      </c>
      <c r="I222" s="5">
        <v>588.29999999999995</v>
      </c>
      <c r="J222" s="6">
        <v>53</v>
      </c>
      <c r="K222" s="6">
        <v>62</v>
      </c>
    </row>
    <row r="223" spans="1:11" ht="14.5" x14ac:dyDescent="0.35">
      <c r="A223" s="3">
        <v>44429</v>
      </c>
      <c r="B223" s="4">
        <v>2021</v>
      </c>
      <c r="C223" s="4" t="s">
        <v>13</v>
      </c>
      <c r="D223" s="4" t="s">
        <v>16</v>
      </c>
      <c r="E223" s="5">
        <v>50379.93</v>
      </c>
      <c r="F223" s="7">
        <v>5440216</v>
      </c>
      <c r="G223" s="7">
        <v>102200</v>
      </c>
      <c r="H223" s="7">
        <v>3877</v>
      </c>
      <c r="I223" s="5">
        <v>278140.92</v>
      </c>
      <c r="J223" s="8">
        <v>1493</v>
      </c>
      <c r="K223" s="8">
        <v>2549</v>
      </c>
    </row>
    <row r="224" spans="1:11" ht="14.5" x14ac:dyDescent="0.35">
      <c r="A224" s="3">
        <v>44429</v>
      </c>
      <c r="B224" s="4">
        <v>2021</v>
      </c>
      <c r="C224" s="4" t="s">
        <v>13</v>
      </c>
      <c r="D224" s="4" t="s">
        <v>14</v>
      </c>
      <c r="E224" s="5">
        <v>53514.35</v>
      </c>
      <c r="F224" s="7">
        <v>2703205</v>
      </c>
      <c r="G224" s="7">
        <v>104747</v>
      </c>
      <c r="H224" s="7">
        <v>3030</v>
      </c>
      <c r="I224" s="5">
        <v>264440.05</v>
      </c>
      <c r="J224" s="8">
        <v>1513</v>
      </c>
      <c r="K224" s="8">
        <v>2584</v>
      </c>
    </row>
    <row r="225" spans="1:11" ht="14.5" x14ac:dyDescent="0.35">
      <c r="A225" s="3">
        <v>44436</v>
      </c>
      <c r="B225" s="4">
        <v>2021</v>
      </c>
      <c r="C225" s="4" t="s">
        <v>11</v>
      </c>
      <c r="D225" s="4" t="s">
        <v>12</v>
      </c>
      <c r="E225" s="5">
        <v>880.87</v>
      </c>
      <c r="F225" s="7">
        <v>53925</v>
      </c>
      <c r="G225" s="4">
        <v>55.29</v>
      </c>
      <c r="H225" s="4">
        <v>832</v>
      </c>
      <c r="I225" s="5">
        <v>7096.43</v>
      </c>
      <c r="J225" s="6">
        <v>439</v>
      </c>
      <c r="K225" s="6">
        <v>451</v>
      </c>
    </row>
    <row r="226" spans="1:11" ht="14.5" x14ac:dyDescent="0.35">
      <c r="A226" s="3">
        <v>44436</v>
      </c>
      <c r="B226" s="4">
        <v>2021</v>
      </c>
      <c r="C226" s="4" t="s">
        <v>13</v>
      </c>
      <c r="D226" s="4" t="s">
        <v>18</v>
      </c>
      <c r="E226" s="5">
        <v>4586.8999999999996</v>
      </c>
      <c r="F226" s="7">
        <v>255367</v>
      </c>
      <c r="G226" s="7">
        <v>6704</v>
      </c>
      <c r="H226" s="4">
        <v>101</v>
      </c>
      <c r="I226" s="5">
        <v>13348.47</v>
      </c>
      <c r="J226" s="6">
        <v>485</v>
      </c>
      <c r="K226" s="6">
        <v>785</v>
      </c>
    </row>
    <row r="227" spans="1:11" ht="14.5" x14ac:dyDescent="0.35">
      <c r="A227" s="3">
        <v>44436</v>
      </c>
      <c r="B227" s="4">
        <v>2021</v>
      </c>
      <c r="C227" s="4" t="s">
        <v>13</v>
      </c>
      <c r="D227" s="4" t="s">
        <v>16</v>
      </c>
      <c r="E227" s="5">
        <v>50993.48</v>
      </c>
      <c r="F227" s="7">
        <v>5882420</v>
      </c>
      <c r="G227" s="7">
        <v>222273</v>
      </c>
      <c r="H227" s="7">
        <v>3170</v>
      </c>
      <c r="I227" s="5">
        <v>240474.72</v>
      </c>
      <c r="J227" s="8">
        <v>1501</v>
      </c>
      <c r="K227" s="8">
        <v>2563</v>
      </c>
    </row>
    <row r="228" spans="1:11" ht="14.5" x14ac:dyDescent="0.35">
      <c r="A228" s="3">
        <v>44436</v>
      </c>
      <c r="B228" s="4">
        <v>2021</v>
      </c>
      <c r="C228" s="4" t="s">
        <v>13</v>
      </c>
      <c r="D228" s="4" t="s">
        <v>17</v>
      </c>
      <c r="E228" s="5">
        <v>23218.14</v>
      </c>
      <c r="F228" s="7">
        <v>2043878</v>
      </c>
      <c r="G228" s="7">
        <v>73434</v>
      </c>
      <c r="H228" s="7">
        <v>1306</v>
      </c>
      <c r="I228" s="5">
        <v>109556.18</v>
      </c>
      <c r="J228" s="8">
        <v>1069</v>
      </c>
      <c r="K228" s="8">
        <v>1807</v>
      </c>
    </row>
    <row r="229" spans="1:11" ht="14.5" x14ac:dyDescent="0.35">
      <c r="A229" s="3">
        <v>44436</v>
      </c>
      <c r="B229" s="4">
        <v>2021</v>
      </c>
      <c r="C229" s="4" t="s">
        <v>13</v>
      </c>
      <c r="D229" s="4" t="s">
        <v>14</v>
      </c>
      <c r="E229" s="5">
        <v>54688.73</v>
      </c>
      <c r="F229" s="7">
        <v>4347607</v>
      </c>
      <c r="G229" s="7">
        <v>187264</v>
      </c>
      <c r="H229" s="7">
        <v>4296</v>
      </c>
      <c r="I229" s="5">
        <v>421334.41</v>
      </c>
      <c r="J229" s="8">
        <v>1529</v>
      </c>
      <c r="K229" s="8">
        <v>2612</v>
      </c>
    </row>
    <row r="230" spans="1:11" ht="14.5" x14ac:dyDescent="0.35">
      <c r="A230" s="3">
        <v>44443</v>
      </c>
      <c r="B230" s="4">
        <v>2021</v>
      </c>
      <c r="C230" s="4" t="s">
        <v>13</v>
      </c>
      <c r="D230" s="4" t="s">
        <v>17</v>
      </c>
      <c r="E230" s="5">
        <v>24495.56</v>
      </c>
      <c r="F230" s="7">
        <v>2030300</v>
      </c>
      <c r="G230" s="7">
        <v>124244</v>
      </c>
      <c r="H230" s="7">
        <v>3988</v>
      </c>
      <c r="I230" s="5">
        <v>31257.39</v>
      </c>
      <c r="J230" s="8">
        <v>1097</v>
      </c>
      <c r="K230" s="8">
        <v>1856</v>
      </c>
    </row>
    <row r="231" spans="1:11" ht="14.5" x14ac:dyDescent="0.35">
      <c r="A231" s="3">
        <v>44443</v>
      </c>
      <c r="B231" s="4">
        <v>2021</v>
      </c>
      <c r="C231" s="4" t="s">
        <v>11</v>
      </c>
      <c r="D231" s="4" t="s">
        <v>12</v>
      </c>
      <c r="E231" s="5">
        <v>910.77</v>
      </c>
      <c r="F231" s="7">
        <v>41904</v>
      </c>
      <c r="G231" s="4">
        <v>67.760000000000005</v>
      </c>
      <c r="H231" s="7">
        <v>1156</v>
      </c>
      <c r="I231" s="5">
        <v>7168.33</v>
      </c>
      <c r="J231" s="6">
        <v>457</v>
      </c>
      <c r="K231" s="6">
        <v>469</v>
      </c>
    </row>
    <row r="232" spans="1:11" ht="14.5" x14ac:dyDescent="0.35">
      <c r="A232" s="3">
        <v>44443</v>
      </c>
      <c r="B232" s="4">
        <v>2021</v>
      </c>
      <c r="C232" s="4" t="s">
        <v>13</v>
      </c>
      <c r="D232" s="4" t="s">
        <v>18</v>
      </c>
      <c r="E232" s="5">
        <v>5955.25</v>
      </c>
      <c r="F232" s="7">
        <v>460011</v>
      </c>
      <c r="G232" s="7">
        <v>19858</v>
      </c>
      <c r="H232" s="4">
        <v>293</v>
      </c>
      <c r="I232" s="5">
        <v>31138.91</v>
      </c>
      <c r="J232" s="6">
        <v>549</v>
      </c>
      <c r="K232" s="6">
        <v>897</v>
      </c>
    </row>
    <row r="233" spans="1:11" ht="14.5" x14ac:dyDescent="0.35">
      <c r="A233" s="3">
        <v>44443</v>
      </c>
      <c r="B233" s="4">
        <v>2021</v>
      </c>
      <c r="C233" s="4" t="s">
        <v>13</v>
      </c>
      <c r="D233" s="4" t="s">
        <v>16</v>
      </c>
      <c r="E233" s="5">
        <v>56469.81</v>
      </c>
      <c r="F233" s="7">
        <v>4620468</v>
      </c>
      <c r="G233" s="7">
        <v>98035</v>
      </c>
      <c r="H233" s="7">
        <v>1722</v>
      </c>
      <c r="I233" s="5">
        <v>192255.47</v>
      </c>
      <c r="J233" s="8">
        <v>1565</v>
      </c>
      <c r="K233" s="8">
        <v>2675</v>
      </c>
    </row>
    <row r="234" spans="1:11" ht="14.5" x14ac:dyDescent="0.35">
      <c r="A234" s="3">
        <v>44443</v>
      </c>
      <c r="B234" s="4">
        <v>2021</v>
      </c>
      <c r="C234" s="4" t="s">
        <v>13</v>
      </c>
      <c r="D234" s="4" t="s">
        <v>14</v>
      </c>
      <c r="E234" s="5">
        <v>61359.63</v>
      </c>
      <c r="F234" s="7">
        <v>5312755</v>
      </c>
      <c r="G234" s="7">
        <v>237852</v>
      </c>
      <c r="H234" s="7">
        <v>9817</v>
      </c>
      <c r="I234" s="5">
        <v>645638.48</v>
      </c>
      <c r="J234" s="8">
        <v>1601</v>
      </c>
      <c r="K234" s="8">
        <v>2738</v>
      </c>
    </row>
    <row r="235" spans="1:11" ht="14.5" x14ac:dyDescent="0.35">
      <c r="A235" s="3">
        <v>44450</v>
      </c>
      <c r="B235" s="4">
        <v>2021</v>
      </c>
      <c r="C235" s="4" t="s">
        <v>11</v>
      </c>
      <c r="D235" s="4" t="s">
        <v>12</v>
      </c>
      <c r="E235" s="5">
        <v>1327.08</v>
      </c>
      <c r="F235" s="7">
        <v>56482</v>
      </c>
      <c r="G235" s="4">
        <v>63.76</v>
      </c>
      <c r="H235" s="7">
        <v>1471</v>
      </c>
      <c r="I235" s="5">
        <v>7637.56</v>
      </c>
      <c r="J235" s="6">
        <v>529</v>
      </c>
      <c r="K235" s="6">
        <v>541</v>
      </c>
    </row>
    <row r="236" spans="1:11" ht="14.5" x14ac:dyDescent="0.35">
      <c r="A236" s="3">
        <v>44450</v>
      </c>
      <c r="B236" s="4">
        <v>2021</v>
      </c>
      <c r="C236" s="4" t="s">
        <v>13</v>
      </c>
      <c r="D236" s="4" t="s">
        <v>18</v>
      </c>
      <c r="E236" s="5">
        <v>10023.25</v>
      </c>
      <c r="F236" s="7">
        <v>519122</v>
      </c>
      <c r="G236" s="7">
        <v>12973</v>
      </c>
      <c r="H236" s="4">
        <v>437</v>
      </c>
      <c r="I236" s="5">
        <v>39475.67</v>
      </c>
      <c r="J236" s="6">
        <v>737</v>
      </c>
      <c r="K236" s="8">
        <v>1226</v>
      </c>
    </row>
    <row r="237" spans="1:11" ht="14.5" x14ac:dyDescent="0.35">
      <c r="A237" s="3">
        <v>44450</v>
      </c>
      <c r="B237" s="4">
        <v>2021</v>
      </c>
      <c r="C237" s="4" t="s">
        <v>13</v>
      </c>
      <c r="D237" s="4" t="s">
        <v>16</v>
      </c>
      <c r="E237" s="5">
        <v>57523.78</v>
      </c>
      <c r="F237" s="7">
        <v>3555283</v>
      </c>
      <c r="G237" s="7">
        <v>77903</v>
      </c>
      <c r="H237" s="7">
        <v>1337</v>
      </c>
      <c r="I237" s="5">
        <v>157119.62</v>
      </c>
      <c r="J237" s="8">
        <v>1573</v>
      </c>
      <c r="K237" s="8">
        <v>2689</v>
      </c>
    </row>
    <row r="238" spans="1:11" ht="14.5" x14ac:dyDescent="0.35">
      <c r="A238" s="3">
        <v>44450</v>
      </c>
      <c r="B238" s="4">
        <v>2021</v>
      </c>
      <c r="C238" s="4" t="s">
        <v>13</v>
      </c>
      <c r="D238" s="4" t="s">
        <v>17</v>
      </c>
      <c r="E238" s="5">
        <v>29812.41</v>
      </c>
      <c r="F238" s="7">
        <v>1737426</v>
      </c>
      <c r="G238" s="7">
        <v>61824</v>
      </c>
      <c r="H238" s="7">
        <v>3794</v>
      </c>
      <c r="I238" s="5">
        <v>194444.02</v>
      </c>
      <c r="J238" s="8">
        <v>1209</v>
      </c>
      <c r="K238" s="8">
        <v>2052</v>
      </c>
    </row>
    <row r="239" spans="1:11" ht="14.5" x14ac:dyDescent="0.35">
      <c r="A239" s="3">
        <v>44450</v>
      </c>
      <c r="B239" s="4">
        <v>2021</v>
      </c>
      <c r="C239" s="4" t="s">
        <v>13</v>
      </c>
      <c r="D239" s="4" t="s">
        <v>14</v>
      </c>
      <c r="E239" s="5">
        <v>66345.259999999995</v>
      </c>
      <c r="F239" s="7">
        <v>6752898</v>
      </c>
      <c r="G239" s="7">
        <v>90785</v>
      </c>
      <c r="H239" s="7">
        <v>2045</v>
      </c>
      <c r="I239" s="5">
        <v>203209.27</v>
      </c>
      <c r="J239" s="8">
        <v>1629</v>
      </c>
      <c r="K239" s="8">
        <v>2787</v>
      </c>
    </row>
    <row r="240" spans="1:11" ht="14.5" x14ac:dyDescent="0.35">
      <c r="A240" s="3">
        <v>44457</v>
      </c>
      <c r="B240" s="4">
        <v>2021</v>
      </c>
      <c r="C240" s="4" t="s">
        <v>13</v>
      </c>
      <c r="D240" s="4" t="s">
        <v>18</v>
      </c>
      <c r="E240" s="5">
        <v>12770.48</v>
      </c>
      <c r="F240" s="7">
        <v>2009688</v>
      </c>
      <c r="G240" s="7">
        <v>4789</v>
      </c>
      <c r="H240" s="4">
        <v>428</v>
      </c>
      <c r="I240" s="5">
        <v>43354.03</v>
      </c>
      <c r="J240" s="6">
        <v>857</v>
      </c>
      <c r="K240" s="8">
        <v>1436</v>
      </c>
    </row>
    <row r="241" spans="1:11" ht="14.5" x14ac:dyDescent="0.35">
      <c r="A241" s="3">
        <v>44457</v>
      </c>
      <c r="B241" s="4">
        <v>2021</v>
      </c>
      <c r="C241" s="4" t="s">
        <v>11</v>
      </c>
      <c r="D241" s="4" t="s">
        <v>12</v>
      </c>
      <c r="E241" s="5">
        <v>1401.61</v>
      </c>
      <c r="F241" s="7">
        <v>55556</v>
      </c>
      <c r="G241" s="4">
        <v>100.82</v>
      </c>
      <c r="H241" s="7">
        <v>2387</v>
      </c>
      <c r="I241" s="5">
        <v>13500.71</v>
      </c>
      <c r="J241" s="6">
        <v>547</v>
      </c>
      <c r="K241" s="6">
        <v>559</v>
      </c>
    </row>
    <row r="242" spans="1:11" ht="14.5" x14ac:dyDescent="0.35">
      <c r="A242" s="3">
        <v>44457</v>
      </c>
      <c r="B242" s="4">
        <v>2021</v>
      </c>
      <c r="C242" s="4" t="s">
        <v>13</v>
      </c>
      <c r="D242" s="4" t="s">
        <v>17</v>
      </c>
      <c r="E242" s="5">
        <v>31051.66</v>
      </c>
      <c r="F242" s="7">
        <v>1179971</v>
      </c>
      <c r="G242" s="7">
        <v>40768</v>
      </c>
      <c r="H242" s="7">
        <v>2653</v>
      </c>
      <c r="I242" s="5">
        <v>245204.83</v>
      </c>
      <c r="J242" s="8">
        <v>1241</v>
      </c>
      <c r="K242" s="8">
        <v>2108</v>
      </c>
    </row>
    <row r="243" spans="1:11" ht="14.5" x14ac:dyDescent="0.35">
      <c r="A243" s="3">
        <v>44457</v>
      </c>
      <c r="B243" s="4">
        <v>2021</v>
      </c>
      <c r="C243" s="4" t="s">
        <v>13</v>
      </c>
      <c r="D243" s="4" t="s">
        <v>16</v>
      </c>
      <c r="E243" s="5">
        <v>62029.01</v>
      </c>
      <c r="F243" s="7">
        <v>6761848</v>
      </c>
      <c r="G243" s="7">
        <v>253119</v>
      </c>
      <c r="H243" s="7">
        <v>10537</v>
      </c>
      <c r="I243" s="5">
        <v>614494.25</v>
      </c>
      <c r="J243" s="8">
        <v>1605</v>
      </c>
      <c r="K243" s="8">
        <v>2745</v>
      </c>
    </row>
    <row r="244" spans="1:11" ht="14.5" x14ac:dyDescent="0.35">
      <c r="A244" s="3">
        <v>44457</v>
      </c>
      <c r="B244" s="4">
        <v>2021</v>
      </c>
      <c r="C244" s="4" t="s">
        <v>13</v>
      </c>
      <c r="D244" s="4" t="s">
        <v>14</v>
      </c>
      <c r="E244" s="5">
        <v>77273.960000000006</v>
      </c>
      <c r="F244" s="7">
        <v>5685407</v>
      </c>
      <c r="G244" s="7">
        <v>206472</v>
      </c>
      <c r="H244" s="7">
        <v>9913</v>
      </c>
      <c r="I244" s="5">
        <v>1086747.8400000001</v>
      </c>
      <c r="J244" s="8">
        <v>1669</v>
      </c>
      <c r="K244" s="8">
        <v>2857</v>
      </c>
    </row>
    <row r="245" spans="1:11" ht="14.5" x14ac:dyDescent="0.35">
      <c r="A245" s="3">
        <v>44464</v>
      </c>
      <c r="B245" s="4">
        <v>2021</v>
      </c>
      <c r="C245" s="4" t="s">
        <v>13</v>
      </c>
      <c r="D245" s="4" t="s">
        <v>17</v>
      </c>
      <c r="E245" s="5">
        <v>31792.06</v>
      </c>
      <c r="F245" s="7">
        <v>2406761</v>
      </c>
      <c r="G245" s="7">
        <v>155773</v>
      </c>
      <c r="H245" s="7">
        <v>5186</v>
      </c>
      <c r="I245" s="5">
        <v>35384.36</v>
      </c>
      <c r="J245" s="8">
        <v>1253</v>
      </c>
      <c r="K245" s="8">
        <v>2129</v>
      </c>
    </row>
    <row r="246" spans="1:11" ht="14.5" x14ac:dyDescent="0.35">
      <c r="A246" s="3">
        <v>44464</v>
      </c>
      <c r="B246" s="4">
        <v>2021</v>
      </c>
      <c r="C246" s="4" t="s">
        <v>13</v>
      </c>
      <c r="D246" s="4" t="s">
        <v>18</v>
      </c>
      <c r="E246" s="5">
        <v>15000</v>
      </c>
      <c r="F246" s="7">
        <v>846248</v>
      </c>
      <c r="G246" s="7">
        <v>2423</v>
      </c>
      <c r="H246" s="4">
        <v>197</v>
      </c>
      <c r="I246" s="5">
        <v>10329.41</v>
      </c>
      <c r="J246" s="6">
        <v>917</v>
      </c>
      <c r="K246" s="8">
        <v>1541</v>
      </c>
    </row>
    <row r="247" spans="1:11" ht="14.5" x14ac:dyDescent="0.35">
      <c r="A247" s="3">
        <v>44464</v>
      </c>
      <c r="B247" s="4">
        <v>2021</v>
      </c>
      <c r="C247" s="4" t="s">
        <v>11</v>
      </c>
      <c r="D247" s="4" t="s">
        <v>12</v>
      </c>
      <c r="E247" s="5">
        <v>4506.1000000000004</v>
      </c>
      <c r="F247" s="7">
        <v>262453</v>
      </c>
      <c r="G247" s="4">
        <v>246.33</v>
      </c>
      <c r="H247" s="7">
        <v>3589</v>
      </c>
      <c r="I247" s="5">
        <v>27705.13</v>
      </c>
      <c r="J247" s="6">
        <v>751</v>
      </c>
      <c r="K247" s="6">
        <v>763</v>
      </c>
    </row>
    <row r="248" spans="1:11" ht="14.5" x14ac:dyDescent="0.35">
      <c r="A248" s="3">
        <v>44464</v>
      </c>
      <c r="B248" s="4">
        <v>2021</v>
      </c>
      <c r="C248" s="4" t="s">
        <v>13</v>
      </c>
      <c r="D248" s="4" t="s">
        <v>16</v>
      </c>
      <c r="E248" s="5">
        <v>66226.63</v>
      </c>
      <c r="F248" s="7">
        <v>3084950</v>
      </c>
      <c r="G248" s="7">
        <v>81249</v>
      </c>
      <c r="H248" s="7">
        <v>1868</v>
      </c>
      <c r="I248" s="5">
        <v>163262.31</v>
      </c>
      <c r="J248" s="8">
        <v>1625</v>
      </c>
      <c r="K248" s="8">
        <v>2780</v>
      </c>
    </row>
    <row r="249" spans="1:11" ht="14.5" x14ac:dyDescent="0.35">
      <c r="A249" s="3">
        <v>44464</v>
      </c>
      <c r="B249" s="4">
        <v>2021</v>
      </c>
      <c r="C249" s="4" t="s">
        <v>13</v>
      </c>
      <c r="D249" s="4" t="s">
        <v>14</v>
      </c>
      <c r="E249" s="5">
        <v>82065.5</v>
      </c>
      <c r="F249" s="7">
        <v>5262388</v>
      </c>
      <c r="G249" s="7">
        <v>85329</v>
      </c>
      <c r="H249" s="7">
        <v>2158</v>
      </c>
      <c r="I249" s="5">
        <v>228261.35</v>
      </c>
      <c r="J249" s="8">
        <v>1689</v>
      </c>
      <c r="K249" s="8">
        <v>2892</v>
      </c>
    </row>
    <row r="250" spans="1:11" ht="14.5" x14ac:dyDescent="0.35">
      <c r="A250" s="3">
        <v>44471</v>
      </c>
      <c r="B250" s="4">
        <v>2021</v>
      </c>
      <c r="C250" s="4" t="s">
        <v>11</v>
      </c>
      <c r="D250" s="4" t="s">
        <v>15</v>
      </c>
      <c r="E250" s="5">
        <v>1109.1099999999999</v>
      </c>
      <c r="F250" s="7">
        <v>10452</v>
      </c>
      <c r="G250" s="4">
        <v>319.7</v>
      </c>
      <c r="H250" s="7">
        <v>3546</v>
      </c>
      <c r="I250" s="5">
        <v>25391.75</v>
      </c>
      <c r="J250" s="6">
        <v>481</v>
      </c>
      <c r="K250" s="6">
        <v>493</v>
      </c>
    </row>
    <row r="251" spans="1:11" ht="14.5" x14ac:dyDescent="0.35">
      <c r="A251" s="3">
        <v>44471</v>
      </c>
      <c r="B251" s="4">
        <v>2021</v>
      </c>
      <c r="C251" s="4" t="s">
        <v>11</v>
      </c>
      <c r="D251" s="4" t="s">
        <v>12</v>
      </c>
      <c r="E251" s="5">
        <v>7304.88</v>
      </c>
      <c r="F251" s="7">
        <v>268890</v>
      </c>
      <c r="G251" s="4">
        <v>302.93</v>
      </c>
      <c r="H251" s="7">
        <v>8476</v>
      </c>
      <c r="I251" s="5">
        <v>36688.54</v>
      </c>
      <c r="J251" s="6">
        <v>859</v>
      </c>
      <c r="K251" s="6">
        <v>871</v>
      </c>
    </row>
    <row r="252" spans="1:11" ht="14.5" x14ac:dyDescent="0.35">
      <c r="A252" s="3">
        <v>44471</v>
      </c>
      <c r="B252" s="4">
        <v>2021</v>
      </c>
      <c r="C252" s="4" t="s">
        <v>13</v>
      </c>
      <c r="D252" s="4" t="s">
        <v>18</v>
      </c>
      <c r="E252" s="5">
        <v>17645.28</v>
      </c>
      <c r="F252" s="7">
        <v>945926</v>
      </c>
      <c r="G252" s="7">
        <v>19282</v>
      </c>
      <c r="H252" s="4">
        <v>318</v>
      </c>
      <c r="I252" s="5">
        <v>37550.910000000003</v>
      </c>
      <c r="J252" s="6">
        <v>957</v>
      </c>
      <c r="K252" s="8">
        <v>1611</v>
      </c>
    </row>
    <row r="253" spans="1:11" ht="14.5" x14ac:dyDescent="0.35">
      <c r="A253" s="3">
        <v>44471</v>
      </c>
      <c r="B253" s="4">
        <v>2021</v>
      </c>
      <c r="C253" s="4" t="s">
        <v>13</v>
      </c>
      <c r="D253" s="4" t="s">
        <v>16</v>
      </c>
      <c r="E253" s="5">
        <v>68942.559999999998</v>
      </c>
      <c r="F253" s="7">
        <v>2700925</v>
      </c>
      <c r="G253" s="7">
        <v>76514</v>
      </c>
      <c r="H253" s="7">
        <v>2129</v>
      </c>
      <c r="I253" s="5">
        <v>191071</v>
      </c>
      <c r="J253" s="8">
        <v>1649</v>
      </c>
      <c r="K253" s="8">
        <v>2822</v>
      </c>
    </row>
    <row r="254" spans="1:11" ht="14.5" x14ac:dyDescent="0.35">
      <c r="A254" s="3">
        <v>44471</v>
      </c>
      <c r="B254" s="4">
        <v>2021</v>
      </c>
      <c r="C254" s="4" t="s">
        <v>13</v>
      </c>
      <c r="D254" s="4" t="s">
        <v>17</v>
      </c>
      <c r="E254" s="5">
        <v>32474.43</v>
      </c>
      <c r="F254" s="7">
        <v>2464476</v>
      </c>
      <c r="G254" s="7">
        <v>74406</v>
      </c>
      <c r="H254" s="7">
        <v>1591</v>
      </c>
      <c r="I254" s="5">
        <v>160836.85</v>
      </c>
      <c r="J254" s="8">
        <v>1273</v>
      </c>
      <c r="K254" s="8">
        <v>2164</v>
      </c>
    </row>
    <row r="255" spans="1:11" ht="14.5" x14ac:dyDescent="0.35">
      <c r="A255" s="3">
        <v>44471</v>
      </c>
      <c r="B255" s="4">
        <v>2021</v>
      </c>
      <c r="C255" s="4" t="s">
        <v>13</v>
      </c>
      <c r="D255" s="4" t="s">
        <v>14</v>
      </c>
      <c r="E255" s="5">
        <v>90504.34</v>
      </c>
      <c r="F255" s="7">
        <v>6825951</v>
      </c>
      <c r="G255" s="7">
        <v>290205</v>
      </c>
      <c r="H255" s="7">
        <v>11403</v>
      </c>
      <c r="I255" s="5">
        <v>1259660.8</v>
      </c>
      <c r="J255" s="8">
        <v>1737</v>
      </c>
      <c r="K255" s="8">
        <v>2976</v>
      </c>
    </row>
    <row r="256" spans="1:11" ht="14.5" x14ac:dyDescent="0.35">
      <c r="A256" s="3">
        <v>44478</v>
      </c>
      <c r="B256" s="4">
        <v>2021</v>
      </c>
      <c r="C256" s="4" t="s">
        <v>13</v>
      </c>
      <c r="D256" s="4" t="s">
        <v>18</v>
      </c>
      <c r="E256" s="5">
        <v>18324.68</v>
      </c>
      <c r="F256" s="7">
        <v>1237528</v>
      </c>
      <c r="G256" s="7">
        <v>19110</v>
      </c>
      <c r="H256" s="4">
        <v>622</v>
      </c>
      <c r="I256" s="5">
        <v>54614.239999999998</v>
      </c>
      <c r="J256" s="6">
        <v>973</v>
      </c>
      <c r="K256" s="8">
        <v>1639</v>
      </c>
    </row>
    <row r="257" spans="1:11" ht="14.5" x14ac:dyDescent="0.35">
      <c r="A257" s="3">
        <v>44478</v>
      </c>
      <c r="B257" s="4">
        <v>2021</v>
      </c>
      <c r="C257" s="4" t="s">
        <v>11</v>
      </c>
      <c r="D257" s="4" t="s">
        <v>15</v>
      </c>
      <c r="E257" s="5">
        <v>1135.53</v>
      </c>
      <c r="F257" s="7">
        <v>14934</v>
      </c>
      <c r="G257" s="4">
        <v>796.72</v>
      </c>
      <c r="H257" s="7">
        <v>6032</v>
      </c>
      <c r="I257" s="5">
        <v>84846.03</v>
      </c>
      <c r="J257" s="6">
        <v>487</v>
      </c>
      <c r="K257" s="6">
        <v>499</v>
      </c>
    </row>
    <row r="258" spans="1:11" ht="14.5" x14ac:dyDescent="0.35">
      <c r="A258" s="3">
        <v>44478</v>
      </c>
      <c r="B258" s="4">
        <v>2021</v>
      </c>
      <c r="C258" s="4" t="s">
        <v>11</v>
      </c>
      <c r="D258" s="4" t="s">
        <v>12</v>
      </c>
      <c r="E258" s="5">
        <v>14889.66</v>
      </c>
      <c r="F258" s="7">
        <v>899759</v>
      </c>
      <c r="G258" s="9">
        <v>1722.99</v>
      </c>
      <c r="H258" s="7">
        <v>27171</v>
      </c>
      <c r="I258" s="5">
        <v>180533.31</v>
      </c>
      <c r="J258" s="8">
        <v>1015</v>
      </c>
      <c r="K258" s="8">
        <v>1027</v>
      </c>
    </row>
    <row r="259" spans="1:11" ht="14.5" x14ac:dyDescent="0.35">
      <c r="A259" s="3">
        <v>44478</v>
      </c>
      <c r="B259" s="4">
        <v>2021</v>
      </c>
      <c r="C259" s="4" t="s">
        <v>13</v>
      </c>
      <c r="D259" s="4" t="s">
        <v>16</v>
      </c>
      <c r="E259" s="5">
        <v>82009.94</v>
      </c>
      <c r="F259" s="7">
        <v>7921533</v>
      </c>
      <c r="G259" s="7">
        <v>136029</v>
      </c>
      <c r="H259" s="7">
        <v>2486</v>
      </c>
      <c r="I259" s="5">
        <v>182268.91</v>
      </c>
      <c r="J259" s="8">
        <v>1685</v>
      </c>
      <c r="K259" s="8">
        <v>2885</v>
      </c>
    </row>
    <row r="260" spans="1:11" ht="14.5" x14ac:dyDescent="0.35">
      <c r="A260" s="3">
        <v>44478</v>
      </c>
      <c r="B260" s="4">
        <v>2021</v>
      </c>
      <c r="C260" s="4" t="s">
        <v>13</v>
      </c>
      <c r="D260" s="4" t="s">
        <v>17</v>
      </c>
      <c r="E260" s="5">
        <v>37071.79</v>
      </c>
      <c r="F260" s="7">
        <v>1734655</v>
      </c>
      <c r="G260" s="7">
        <v>66235</v>
      </c>
      <c r="H260" s="7">
        <v>1240</v>
      </c>
      <c r="I260" s="5">
        <v>116463.59</v>
      </c>
      <c r="J260" s="8">
        <v>1337</v>
      </c>
      <c r="K260" s="8">
        <v>2276</v>
      </c>
    </row>
    <row r="261" spans="1:11" ht="14.5" x14ac:dyDescent="0.35">
      <c r="A261" s="3">
        <v>44478</v>
      </c>
      <c r="B261" s="4">
        <v>2021</v>
      </c>
      <c r="C261" s="4" t="s">
        <v>13</v>
      </c>
      <c r="D261" s="4" t="s">
        <v>14</v>
      </c>
      <c r="E261" s="5">
        <v>100280.6</v>
      </c>
      <c r="F261" s="7">
        <v>10728192</v>
      </c>
      <c r="G261" s="7">
        <v>198751</v>
      </c>
      <c r="H261" s="7">
        <v>4962</v>
      </c>
      <c r="I261" s="5">
        <v>446740.64</v>
      </c>
      <c r="J261" s="8">
        <v>1785</v>
      </c>
      <c r="K261" s="8">
        <v>3060</v>
      </c>
    </row>
    <row r="262" spans="1:11" ht="14.5" x14ac:dyDescent="0.35">
      <c r="A262" s="3">
        <v>44485</v>
      </c>
      <c r="B262" s="4">
        <v>2021</v>
      </c>
      <c r="C262" s="4" t="s">
        <v>13</v>
      </c>
      <c r="D262" s="4" t="s">
        <v>17</v>
      </c>
      <c r="E262" s="5">
        <v>42793.84</v>
      </c>
      <c r="F262" s="7">
        <v>3489551</v>
      </c>
      <c r="G262" s="7">
        <v>210676</v>
      </c>
      <c r="H262" s="7">
        <v>6767</v>
      </c>
      <c r="I262" s="5">
        <v>41568.230000000003</v>
      </c>
      <c r="J262" s="8">
        <v>1417</v>
      </c>
      <c r="K262" s="8">
        <v>2416</v>
      </c>
    </row>
    <row r="263" spans="1:11" ht="14.5" x14ac:dyDescent="0.35">
      <c r="A263" s="3">
        <v>44485</v>
      </c>
      <c r="B263" s="4">
        <v>2021</v>
      </c>
      <c r="C263" s="4" t="s">
        <v>11</v>
      </c>
      <c r="D263" s="4" t="s">
        <v>12</v>
      </c>
      <c r="E263" s="5">
        <v>14909.86</v>
      </c>
      <c r="F263" s="7">
        <v>507726</v>
      </c>
      <c r="G263" s="4">
        <v>736.95</v>
      </c>
      <c r="H263" s="7">
        <v>14905</v>
      </c>
      <c r="I263" s="5">
        <v>78737.850000000006</v>
      </c>
      <c r="J263" s="8">
        <v>1027</v>
      </c>
      <c r="K263" s="8">
        <v>1039</v>
      </c>
    </row>
    <row r="264" spans="1:11" ht="14.5" x14ac:dyDescent="0.35">
      <c r="A264" s="3">
        <v>44485</v>
      </c>
      <c r="B264" s="4">
        <v>2021</v>
      </c>
      <c r="C264" s="4" t="s">
        <v>13</v>
      </c>
      <c r="D264" s="4" t="s">
        <v>18</v>
      </c>
      <c r="E264" s="5">
        <v>24519.41</v>
      </c>
      <c r="F264" s="7">
        <v>1627310</v>
      </c>
      <c r="G264" s="7">
        <v>22021</v>
      </c>
      <c r="H264" s="4">
        <v>495</v>
      </c>
      <c r="I264" s="5">
        <v>40861.17</v>
      </c>
      <c r="J264" s="8">
        <v>1105</v>
      </c>
      <c r="K264" s="8">
        <v>1870</v>
      </c>
    </row>
    <row r="265" spans="1:11" ht="14.5" x14ac:dyDescent="0.35">
      <c r="A265" s="3">
        <v>44485</v>
      </c>
      <c r="B265" s="4">
        <v>2021</v>
      </c>
      <c r="C265" s="4" t="s">
        <v>11</v>
      </c>
      <c r="D265" s="4" t="s">
        <v>15</v>
      </c>
      <c r="E265" s="5">
        <v>2174.96</v>
      </c>
      <c r="F265" s="7">
        <v>117378</v>
      </c>
      <c r="G265" s="9">
        <v>2294.38</v>
      </c>
      <c r="H265" s="7">
        <v>29645</v>
      </c>
      <c r="I265" s="5">
        <v>239608.95</v>
      </c>
      <c r="J265" s="6">
        <v>601</v>
      </c>
      <c r="K265" s="6">
        <v>613</v>
      </c>
    </row>
    <row r="266" spans="1:11" ht="14.5" x14ac:dyDescent="0.35">
      <c r="A266" s="3">
        <v>44485</v>
      </c>
      <c r="B266" s="4">
        <v>2021</v>
      </c>
      <c r="C266" s="4" t="s">
        <v>13</v>
      </c>
      <c r="D266" s="4" t="s">
        <v>16</v>
      </c>
      <c r="E266" s="5">
        <v>83960.31</v>
      </c>
      <c r="F266" s="7">
        <v>8279747</v>
      </c>
      <c r="G266" s="7">
        <v>259368</v>
      </c>
      <c r="H266" s="7">
        <v>4947</v>
      </c>
      <c r="I266" s="5">
        <v>417594.64</v>
      </c>
      <c r="J266" s="8">
        <v>1701</v>
      </c>
      <c r="K266" s="8">
        <v>2913</v>
      </c>
    </row>
    <row r="267" spans="1:11" ht="14.5" x14ac:dyDescent="0.35">
      <c r="A267" s="3">
        <v>44485</v>
      </c>
      <c r="B267" s="4">
        <v>2021</v>
      </c>
      <c r="C267" s="4" t="s">
        <v>13</v>
      </c>
      <c r="D267" s="4" t="s">
        <v>14</v>
      </c>
      <c r="E267" s="5">
        <v>117436</v>
      </c>
      <c r="F267" s="7">
        <v>7661150</v>
      </c>
      <c r="G267" s="7">
        <v>184436</v>
      </c>
      <c r="H267" s="7">
        <v>6464</v>
      </c>
      <c r="I267" s="5">
        <v>557487.30000000005</v>
      </c>
      <c r="J267" s="8">
        <v>1825</v>
      </c>
      <c r="K267" s="8">
        <v>3130</v>
      </c>
    </row>
    <row r="268" spans="1:11" ht="14.5" x14ac:dyDescent="0.35">
      <c r="A268" s="3">
        <v>44492</v>
      </c>
      <c r="B268" s="4">
        <v>2021</v>
      </c>
      <c r="C268" s="4" t="s">
        <v>13</v>
      </c>
      <c r="D268" s="4" t="s">
        <v>14</v>
      </c>
      <c r="E268" s="5">
        <v>120476.21</v>
      </c>
      <c r="F268" s="7">
        <v>10321481</v>
      </c>
      <c r="G268" s="7">
        <v>290771</v>
      </c>
      <c r="H268" s="7">
        <v>11629</v>
      </c>
      <c r="I268" s="5">
        <v>1315973.75</v>
      </c>
      <c r="J268" s="8">
        <v>1845</v>
      </c>
      <c r="K268" s="8">
        <v>3165</v>
      </c>
    </row>
    <row r="269" spans="1:11" ht="14.5" x14ac:dyDescent="0.35">
      <c r="A269" s="3">
        <v>44492</v>
      </c>
      <c r="B269" s="4">
        <v>2021</v>
      </c>
      <c r="C269" s="4" t="s">
        <v>13</v>
      </c>
      <c r="D269" s="4" t="s">
        <v>17</v>
      </c>
      <c r="E269" s="5">
        <v>54748.160000000003</v>
      </c>
      <c r="F269" s="7">
        <v>4213942</v>
      </c>
      <c r="G269" s="7">
        <v>251274</v>
      </c>
      <c r="H269" s="7">
        <v>7154</v>
      </c>
      <c r="I269" s="5">
        <v>69284.22</v>
      </c>
      <c r="J269" s="8">
        <v>1533</v>
      </c>
      <c r="K269" s="8">
        <v>2619</v>
      </c>
    </row>
    <row r="270" spans="1:11" ht="14.5" x14ac:dyDescent="0.35">
      <c r="A270" s="3">
        <v>44492</v>
      </c>
      <c r="B270" s="4">
        <v>2021</v>
      </c>
      <c r="C270" s="4" t="s">
        <v>11</v>
      </c>
      <c r="D270" s="4" t="s">
        <v>12</v>
      </c>
      <c r="E270" s="5">
        <v>16453.11</v>
      </c>
      <c r="F270" s="7">
        <v>473224</v>
      </c>
      <c r="G270" s="4">
        <v>876.94</v>
      </c>
      <c r="H270" s="7">
        <v>21134</v>
      </c>
      <c r="I270" s="5">
        <v>98534.85</v>
      </c>
      <c r="J270" s="8">
        <v>1039</v>
      </c>
      <c r="K270" s="8">
        <v>1051</v>
      </c>
    </row>
    <row r="271" spans="1:11" ht="14.5" x14ac:dyDescent="0.35">
      <c r="A271" s="3">
        <v>44492</v>
      </c>
      <c r="B271" s="4">
        <v>2021</v>
      </c>
      <c r="C271" s="4" t="s">
        <v>11</v>
      </c>
      <c r="D271" s="4" t="s">
        <v>15</v>
      </c>
      <c r="E271" s="5">
        <v>2247.64</v>
      </c>
      <c r="F271" s="7">
        <v>20564</v>
      </c>
      <c r="G271" s="9">
        <v>1483.53</v>
      </c>
      <c r="H271" s="7">
        <v>8856</v>
      </c>
      <c r="I271" s="5">
        <v>129395.13</v>
      </c>
      <c r="J271" s="6">
        <v>607</v>
      </c>
      <c r="K271" s="6">
        <v>619</v>
      </c>
    </row>
    <row r="272" spans="1:11" ht="14.5" x14ac:dyDescent="0.35">
      <c r="A272" s="3">
        <v>44492</v>
      </c>
      <c r="B272" s="4">
        <v>2021</v>
      </c>
      <c r="C272" s="4" t="s">
        <v>13</v>
      </c>
      <c r="D272" s="4" t="s">
        <v>18</v>
      </c>
      <c r="E272" s="5">
        <v>29192.17</v>
      </c>
      <c r="F272" s="7">
        <v>2485841</v>
      </c>
      <c r="G272" s="7">
        <v>85940</v>
      </c>
      <c r="H272" s="7">
        <v>2159</v>
      </c>
      <c r="I272" s="5">
        <v>147107.70000000001</v>
      </c>
      <c r="J272" s="8">
        <v>1185</v>
      </c>
      <c r="K272" s="8">
        <v>2010</v>
      </c>
    </row>
    <row r="273" spans="1:11" ht="14.5" x14ac:dyDescent="0.35">
      <c r="A273" s="3">
        <v>44492</v>
      </c>
      <c r="B273" s="4">
        <v>2021</v>
      </c>
      <c r="C273" s="4" t="s">
        <v>13</v>
      </c>
      <c r="D273" s="4" t="s">
        <v>16</v>
      </c>
      <c r="E273" s="5">
        <v>112503.02</v>
      </c>
      <c r="F273" s="7">
        <v>10651587</v>
      </c>
      <c r="G273" s="7">
        <v>334311</v>
      </c>
      <c r="H273" s="7">
        <v>5681</v>
      </c>
      <c r="I273" s="5">
        <v>389514.56</v>
      </c>
      <c r="J273" s="8">
        <v>1813</v>
      </c>
      <c r="K273" s="8">
        <v>3109</v>
      </c>
    </row>
    <row r="274" spans="1:11" ht="14.5" x14ac:dyDescent="0.35">
      <c r="A274" s="3">
        <v>44499</v>
      </c>
      <c r="B274" s="4">
        <v>2021</v>
      </c>
      <c r="C274" s="4" t="s">
        <v>11</v>
      </c>
      <c r="D274" s="4" t="s">
        <v>12</v>
      </c>
      <c r="E274" s="5">
        <v>17455.09</v>
      </c>
      <c r="F274" s="7">
        <v>760454</v>
      </c>
      <c r="G274" s="9">
        <v>1018.5</v>
      </c>
      <c r="H274" s="7">
        <v>15096</v>
      </c>
      <c r="I274" s="5">
        <v>106019.42</v>
      </c>
      <c r="J274" s="8">
        <v>1051</v>
      </c>
      <c r="K274" s="8">
        <v>1063</v>
      </c>
    </row>
    <row r="275" spans="1:11" ht="14.5" x14ac:dyDescent="0.35">
      <c r="A275" s="3">
        <v>44499</v>
      </c>
      <c r="B275" s="4">
        <v>2021</v>
      </c>
      <c r="C275" s="4" t="s">
        <v>13</v>
      </c>
      <c r="D275" s="4" t="s">
        <v>18</v>
      </c>
      <c r="E275" s="5">
        <v>29476.67</v>
      </c>
      <c r="F275" s="7">
        <v>2137412</v>
      </c>
      <c r="G275" s="7">
        <v>80026</v>
      </c>
      <c r="H275" s="7">
        <v>1189</v>
      </c>
      <c r="I275" s="5">
        <v>99020.18</v>
      </c>
      <c r="J275" s="8">
        <v>1197</v>
      </c>
      <c r="K275" s="8">
        <v>2031</v>
      </c>
    </row>
    <row r="276" spans="1:11" ht="14.5" x14ac:dyDescent="0.35">
      <c r="A276" s="3">
        <v>44499</v>
      </c>
      <c r="B276" s="4">
        <v>2021</v>
      </c>
      <c r="C276" s="4" t="s">
        <v>13</v>
      </c>
      <c r="D276" s="4" t="s">
        <v>16</v>
      </c>
      <c r="E276" s="5">
        <v>119186.78</v>
      </c>
      <c r="F276" s="7">
        <v>13586838</v>
      </c>
      <c r="G276" s="7">
        <v>482019</v>
      </c>
      <c r="H276" s="7">
        <v>8711</v>
      </c>
      <c r="I276" s="5">
        <v>535396.97</v>
      </c>
      <c r="J276" s="8">
        <v>1833</v>
      </c>
      <c r="K276" s="8">
        <v>3144</v>
      </c>
    </row>
    <row r="277" spans="1:11" ht="14.5" x14ac:dyDescent="0.35">
      <c r="A277" s="3">
        <v>44499</v>
      </c>
      <c r="B277" s="4">
        <v>2021</v>
      </c>
      <c r="C277" s="4" t="s">
        <v>11</v>
      </c>
      <c r="D277" s="4" t="s">
        <v>15</v>
      </c>
      <c r="E277" s="5">
        <v>3321.73</v>
      </c>
      <c r="F277" s="7">
        <v>56951</v>
      </c>
      <c r="G277" s="9">
        <v>6390.92</v>
      </c>
      <c r="H277" s="7">
        <v>36372</v>
      </c>
      <c r="I277" s="5">
        <v>537685.27</v>
      </c>
      <c r="J277" s="6">
        <v>691</v>
      </c>
      <c r="K277" s="6">
        <v>703</v>
      </c>
    </row>
    <row r="278" spans="1:11" ht="14.5" x14ac:dyDescent="0.35">
      <c r="A278" s="3">
        <v>44499</v>
      </c>
      <c r="B278" s="4">
        <v>2021</v>
      </c>
      <c r="C278" s="4" t="s">
        <v>13</v>
      </c>
      <c r="D278" s="4" t="s">
        <v>17</v>
      </c>
      <c r="E278" s="5">
        <v>55929.49</v>
      </c>
      <c r="F278" s="7">
        <v>3525121</v>
      </c>
      <c r="G278" s="7">
        <v>103271</v>
      </c>
      <c r="H278" s="7">
        <v>3297</v>
      </c>
      <c r="I278" s="5">
        <v>315037.27</v>
      </c>
      <c r="J278" s="8">
        <v>1553</v>
      </c>
      <c r="K278" s="8">
        <v>2654</v>
      </c>
    </row>
    <row r="279" spans="1:11" ht="14.5" x14ac:dyDescent="0.35">
      <c r="A279" s="3">
        <v>44499</v>
      </c>
      <c r="B279" s="4">
        <v>2021</v>
      </c>
      <c r="C279" s="4" t="s">
        <v>13</v>
      </c>
      <c r="D279" s="4" t="s">
        <v>14</v>
      </c>
      <c r="E279" s="5">
        <v>124212.39</v>
      </c>
      <c r="F279" s="7">
        <v>9857994</v>
      </c>
      <c r="G279" s="7">
        <v>336377</v>
      </c>
      <c r="H279" s="7">
        <v>9124</v>
      </c>
      <c r="I279" s="5">
        <v>663184.39</v>
      </c>
      <c r="J279" s="8">
        <v>1869</v>
      </c>
      <c r="K279" s="8">
        <v>3207</v>
      </c>
    </row>
    <row r="280" spans="1:11" ht="14.5" x14ac:dyDescent="0.35">
      <c r="A280" s="3">
        <v>44506</v>
      </c>
      <c r="B280" s="4">
        <v>2021</v>
      </c>
      <c r="C280" s="4" t="s">
        <v>13</v>
      </c>
      <c r="D280" s="4" t="s">
        <v>17</v>
      </c>
      <c r="E280" s="5">
        <v>67835.820000000007</v>
      </c>
      <c r="F280" s="7">
        <v>5695449</v>
      </c>
      <c r="G280" s="7">
        <v>322108</v>
      </c>
      <c r="H280" s="7">
        <v>11675</v>
      </c>
      <c r="I280" s="5">
        <v>149684.99</v>
      </c>
      <c r="J280" s="8">
        <v>1641</v>
      </c>
      <c r="K280" s="8">
        <v>2808</v>
      </c>
    </row>
    <row r="281" spans="1:11" ht="14.5" x14ac:dyDescent="0.35">
      <c r="A281" s="3">
        <v>44506</v>
      </c>
      <c r="B281" s="4">
        <v>2021</v>
      </c>
      <c r="C281" s="4" t="s">
        <v>13</v>
      </c>
      <c r="D281" s="4" t="s">
        <v>18</v>
      </c>
      <c r="E281" s="5">
        <v>36710.89</v>
      </c>
      <c r="F281" s="7">
        <v>1037613</v>
      </c>
      <c r="G281" s="7">
        <v>34858</v>
      </c>
      <c r="H281" s="7">
        <v>1241</v>
      </c>
      <c r="I281" s="5">
        <v>105588.01</v>
      </c>
      <c r="J281" s="8">
        <v>1333</v>
      </c>
      <c r="K281" s="8">
        <v>2269</v>
      </c>
    </row>
    <row r="282" spans="1:11" ht="14.5" x14ac:dyDescent="0.35">
      <c r="A282" s="3">
        <v>44506</v>
      </c>
      <c r="B282" s="4">
        <v>2021</v>
      </c>
      <c r="C282" s="4" t="s">
        <v>11</v>
      </c>
      <c r="D282" s="4" t="s">
        <v>12</v>
      </c>
      <c r="E282" s="5">
        <v>20168.009999999998</v>
      </c>
      <c r="F282" s="7">
        <v>971936</v>
      </c>
      <c r="G282" s="9">
        <v>1067.8</v>
      </c>
      <c r="H282" s="7">
        <v>21126</v>
      </c>
      <c r="I282" s="5">
        <v>113095.62</v>
      </c>
      <c r="J282" s="8">
        <v>1087</v>
      </c>
      <c r="K282" s="8">
        <v>1099</v>
      </c>
    </row>
    <row r="283" spans="1:11" ht="14.5" x14ac:dyDescent="0.35">
      <c r="A283" s="3">
        <v>44506</v>
      </c>
      <c r="B283" s="4">
        <v>2021</v>
      </c>
      <c r="C283" s="4" t="s">
        <v>13</v>
      </c>
      <c r="D283" s="4" t="s">
        <v>16</v>
      </c>
      <c r="E283" s="5">
        <v>133412.97</v>
      </c>
      <c r="F283" s="7">
        <v>13757097</v>
      </c>
      <c r="G283" s="7">
        <v>451742</v>
      </c>
      <c r="H283" s="7">
        <v>7570</v>
      </c>
      <c r="I283" s="5">
        <v>465844.15</v>
      </c>
      <c r="J283" s="8">
        <v>1901</v>
      </c>
      <c r="K283" s="8">
        <v>3263</v>
      </c>
    </row>
    <row r="284" spans="1:11" ht="14.5" x14ac:dyDescent="0.35">
      <c r="A284" s="3">
        <v>44506</v>
      </c>
      <c r="B284" s="4">
        <v>2021</v>
      </c>
      <c r="C284" s="4" t="s">
        <v>13</v>
      </c>
      <c r="D284" s="4" t="s">
        <v>14</v>
      </c>
      <c r="E284" s="5">
        <v>124512.95</v>
      </c>
      <c r="F284" s="7">
        <v>5093907</v>
      </c>
      <c r="G284" s="7">
        <v>135276</v>
      </c>
      <c r="H284" s="7">
        <v>5555</v>
      </c>
      <c r="I284" s="5">
        <v>548602.56999999995</v>
      </c>
      <c r="J284" s="8">
        <v>1873</v>
      </c>
      <c r="K284" s="8">
        <v>3214</v>
      </c>
    </row>
    <row r="285" spans="1:11" ht="14.5" x14ac:dyDescent="0.35">
      <c r="A285" s="3">
        <v>44506</v>
      </c>
      <c r="B285" s="4">
        <v>2021</v>
      </c>
      <c r="C285" s="4" t="s">
        <v>11</v>
      </c>
      <c r="D285" s="4" t="s">
        <v>15</v>
      </c>
      <c r="E285" s="5">
        <v>5348.24</v>
      </c>
      <c r="F285" s="7">
        <v>174732</v>
      </c>
      <c r="G285" s="9">
        <v>13255.7</v>
      </c>
      <c r="H285" s="7">
        <v>90263</v>
      </c>
      <c r="I285" s="5">
        <v>1109982.2</v>
      </c>
      <c r="J285" s="6">
        <v>781</v>
      </c>
      <c r="K285" s="6">
        <v>793</v>
      </c>
    </row>
    <row r="286" spans="1:11" ht="14.5" x14ac:dyDescent="0.35">
      <c r="A286" s="3">
        <v>44513</v>
      </c>
      <c r="B286" s="4">
        <v>2021</v>
      </c>
      <c r="C286" s="4" t="s">
        <v>13</v>
      </c>
      <c r="D286" s="4" t="s">
        <v>17</v>
      </c>
      <c r="E286" s="5">
        <v>80292.259999999995</v>
      </c>
      <c r="F286" s="7">
        <v>9040227</v>
      </c>
      <c r="G286" s="7">
        <v>480998</v>
      </c>
      <c r="H286" s="7">
        <v>13946</v>
      </c>
      <c r="I286" s="5">
        <v>160250.25</v>
      </c>
      <c r="J286" s="8">
        <v>1681</v>
      </c>
      <c r="K286" s="8">
        <v>2878</v>
      </c>
    </row>
    <row r="287" spans="1:11" ht="14.5" x14ac:dyDescent="0.35">
      <c r="A287" s="3">
        <v>44513</v>
      </c>
      <c r="B287" s="4">
        <v>2021</v>
      </c>
      <c r="C287" s="4" t="s">
        <v>11</v>
      </c>
      <c r="D287" s="4" t="s">
        <v>15</v>
      </c>
      <c r="E287" s="5">
        <v>5465.19</v>
      </c>
      <c r="F287" s="7">
        <v>100274</v>
      </c>
      <c r="G287" s="9">
        <v>2552.8000000000002</v>
      </c>
      <c r="H287" s="7">
        <v>53622</v>
      </c>
      <c r="I287" s="5">
        <v>230919.08</v>
      </c>
      <c r="J287" s="6">
        <v>793</v>
      </c>
      <c r="K287" s="6">
        <v>805</v>
      </c>
    </row>
    <row r="288" spans="1:11" ht="14.5" x14ac:dyDescent="0.35">
      <c r="A288" s="3">
        <v>44513</v>
      </c>
      <c r="B288" s="4">
        <v>2021</v>
      </c>
      <c r="C288" s="4" t="s">
        <v>11</v>
      </c>
      <c r="D288" s="4" t="s">
        <v>12</v>
      </c>
      <c r="E288" s="5">
        <v>45814.81</v>
      </c>
      <c r="F288" s="7">
        <v>1837421</v>
      </c>
      <c r="G288" s="9">
        <v>2478.31</v>
      </c>
      <c r="H288" s="7">
        <v>51875</v>
      </c>
      <c r="I288" s="5">
        <v>247514.78</v>
      </c>
      <c r="J288" s="8">
        <v>1327</v>
      </c>
      <c r="K288" s="8">
        <v>1339</v>
      </c>
    </row>
    <row r="289" spans="1:11" ht="14.5" x14ac:dyDescent="0.35">
      <c r="A289" s="3">
        <v>44513</v>
      </c>
      <c r="B289" s="4">
        <v>2021</v>
      </c>
      <c r="C289" s="4" t="s">
        <v>13</v>
      </c>
      <c r="D289" s="4" t="s">
        <v>18</v>
      </c>
      <c r="E289" s="5">
        <v>43694.39</v>
      </c>
      <c r="F289" s="7">
        <v>3770735</v>
      </c>
      <c r="G289" s="7">
        <v>123760</v>
      </c>
      <c r="H289" s="7">
        <v>3230</v>
      </c>
      <c r="I289" s="5">
        <v>215816.69</v>
      </c>
      <c r="J289" s="8">
        <v>1441</v>
      </c>
      <c r="K289" s="8">
        <v>2458</v>
      </c>
    </row>
    <row r="290" spans="1:11" ht="14.5" x14ac:dyDescent="0.35">
      <c r="A290" s="3">
        <v>44513</v>
      </c>
      <c r="B290" s="4">
        <v>2021</v>
      </c>
      <c r="C290" s="4" t="s">
        <v>13</v>
      </c>
      <c r="D290" s="4" t="s">
        <v>16</v>
      </c>
      <c r="E290" s="5">
        <v>160550.22</v>
      </c>
      <c r="F290" s="7">
        <v>13573429</v>
      </c>
      <c r="G290" s="7">
        <v>518570</v>
      </c>
      <c r="H290" s="7">
        <v>7825</v>
      </c>
      <c r="I290" s="5">
        <v>687129.95</v>
      </c>
      <c r="J290" s="8">
        <v>1949</v>
      </c>
      <c r="K290" s="8">
        <v>3347</v>
      </c>
    </row>
    <row r="291" spans="1:11" ht="14.5" x14ac:dyDescent="0.35">
      <c r="A291" s="3">
        <v>44513</v>
      </c>
      <c r="B291" s="4">
        <v>2021</v>
      </c>
      <c r="C291" s="4" t="s">
        <v>13</v>
      </c>
      <c r="D291" s="4" t="s">
        <v>14</v>
      </c>
      <c r="E291" s="5">
        <v>127350.69</v>
      </c>
      <c r="F291" s="7">
        <v>6205829</v>
      </c>
      <c r="G291" s="7">
        <v>227331</v>
      </c>
      <c r="H291" s="7">
        <v>5095</v>
      </c>
      <c r="I291" s="5">
        <v>490104.38</v>
      </c>
      <c r="J291" s="8">
        <v>1889</v>
      </c>
      <c r="K291" s="8">
        <v>3242</v>
      </c>
    </row>
    <row r="292" spans="1:11" ht="14.5" x14ac:dyDescent="0.35">
      <c r="A292" s="3">
        <v>44520</v>
      </c>
      <c r="B292" s="4">
        <v>2021</v>
      </c>
      <c r="C292" s="4" t="s">
        <v>13</v>
      </c>
      <c r="D292" s="4" t="s">
        <v>17</v>
      </c>
      <c r="E292" s="5">
        <v>83373.17</v>
      </c>
      <c r="F292" s="7">
        <v>4374882</v>
      </c>
      <c r="G292" s="7">
        <v>215881</v>
      </c>
      <c r="H292" s="7">
        <v>6998</v>
      </c>
      <c r="I292" s="5">
        <v>45983.86</v>
      </c>
      <c r="J292" s="8">
        <v>1697</v>
      </c>
      <c r="K292" s="8">
        <v>2906</v>
      </c>
    </row>
    <row r="293" spans="1:11" ht="14.5" x14ac:dyDescent="0.35">
      <c r="A293" s="3">
        <v>44520</v>
      </c>
      <c r="B293" s="4">
        <v>2021</v>
      </c>
      <c r="C293" s="4" t="s">
        <v>13</v>
      </c>
      <c r="D293" s="4" t="s">
        <v>18</v>
      </c>
      <c r="E293" s="5">
        <v>48476.94</v>
      </c>
      <c r="F293" s="7">
        <v>1509069</v>
      </c>
      <c r="G293" s="7">
        <v>15174</v>
      </c>
      <c r="H293" s="4">
        <v>315</v>
      </c>
      <c r="I293" s="5">
        <v>39915.050000000003</v>
      </c>
      <c r="J293" s="8">
        <v>1477</v>
      </c>
      <c r="K293" s="8">
        <v>2521</v>
      </c>
    </row>
    <row r="294" spans="1:11" ht="14.5" x14ac:dyDescent="0.35">
      <c r="A294" s="3">
        <v>44520</v>
      </c>
      <c r="B294" s="4">
        <v>2021</v>
      </c>
      <c r="C294" s="4" t="s">
        <v>11</v>
      </c>
      <c r="D294" s="4" t="s">
        <v>12</v>
      </c>
      <c r="E294" s="5">
        <v>56875.42</v>
      </c>
      <c r="F294" s="7">
        <v>553518</v>
      </c>
      <c r="G294" s="9">
        <v>3775.28</v>
      </c>
      <c r="H294" s="7">
        <v>32632</v>
      </c>
      <c r="I294" s="5">
        <v>422204.88</v>
      </c>
      <c r="J294" s="8">
        <v>1387</v>
      </c>
      <c r="K294" s="8">
        <v>1399</v>
      </c>
    </row>
    <row r="295" spans="1:11" ht="14.5" x14ac:dyDescent="0.35">
      <c r="A295" s="3">
        <v>44520</v>
      </c>
      <c r="B295" s="4">
        <v>2021</v>
      </c>
      <c r="C295" s="4" t="s">
        <v>11</v>
      </c>
      <c r="D295" s="4" t="s">
        <v>15</v>
      </c>
      <c r="E295" s="5">
        <v>9541.2099999999991</v>
      </c>
      <c r="F295" s="7">
        <v>513717</v>
      </c>
      <c r="G295" s="9">
        <v>7364.08</v>
      </c>
      <c r="H295" s="7">
        <v>140253</v>
      </c>
      <c r="I295" s="5">
        <v>706620.18</v>
      </c>
      <c r="J295" s="6">
        <v>925</v>
      </c>
      <c r="K295" s="6">
        <v>937</v>
      </c>
    </row>
    <row r="296" spans="1:11" ht="14.5" x14ac:dyDescent="0.35">
      <c r="A296" s="3">
        <v>44520</v>
      </c>
      <c r="B296" s="4">
        <v>2021</v>
      </c>
      <c r="C296" s="4" t="s">
        <v>13</v>
      </c>
      <c r="D296" s="4" t="s">
        <v>16</v>
      </c>
      <c r="E296" s="5">
        <v>162656.32999999999</v>
      </c>
      <c r="F296" s="7">
        <v>17528688</v>
      </c>
      <c r="G296" s="7">
        <v>515984</v>
      </c>
      <c r="H296" s="7">
        <v>13524</v>
      </c>
      <c r="I296" s="5">
        <v>805894.85</v>
      </c>
      <c r="J296" s="8">
        <v>1957</v>
      </c>
      <c r="K296" s="8">
        <v>3361</v>
      </c>
    </row>
    <row r="297" spans="1:11" ht="14.5" x14ac:dyDescent="0.35">
      <c r="A297" s="3">
        <v>44520</v>
      </c>
      <c r="B297" s="4">
        <v>2021</v>
      </c>
      <c r="C297" s="4" t="s">
        <v>13</v>
      </c>
      <c r="D297" s="4" t="s">
        <v>14</v>
      </c>
      <c r="E297" s="5">
        <v>149269.51</v>
      </c>
      <c r="F297" s="7">
        <v>9055207</v>
      </c>
      <c r="G297" s="7">
        <v>327744</v>
      </c>
      <c r="H297" s="7">
        <v>17160</v>
      </c>
      <c r="I297" s="5">
        <v>1517274.5</v>
      </c>
      <c r="J297" s="8">
        <v>1925</v>
      </c>
      <c r="K297" s="8">
        <v>3305</v>
      </c>
    </row>
    <row r="298" spans="1:11" ht="14.5" x14ac:dyDescent="0.35">
      <c r="A298" s="3">
        <v>44527</v>
      </c>
      <c r="B298" s="4">
        <v>2021</v>
      </c>
      <c r="C298" s="4" t="s">
        <v>13</v>
      </c>
      <c r="D298" s="4" t="s">
        <v>17</v>
      </c>
      <c r="E298" s="5">
        <v>90397.17</v>
      </c>
      <c r="F298" s="7">
        <v>4697470</v>
      </c>
      <c r="G298" s="7">
        <v>233616</v>
      </c>
      <c r="H298" s="7">
        <v>7868</v>
      </c>
      <c r="I298" s="5">
        <v>53112.41</v>
      </c>
      <c r="J298" s="8">
        <v>1733</v>
      </c>
      <c r="K298" s="8">
        <v>2969</v>
      </c>
    </row>
    <row r="299" spans="1:11" ht="14.5" x14ac:dyDescent="0.35">
      <c r="A299" s="3">
        <v>44527</v>
      </c>
      <c r="B299" s="4">
        <v>2021</v>
      </c>
      <c r="C299" s="4" t="s">
        <v>13</v>
      </c>
      <c r="D299" s="4" t="s">
        <v>18</v>
      </c>
      <c r="E299" s="5">
        <v>54167.22</v>
      </c>
      <c r="F299" s="7">
        <v>3288996</v>
      </c>
      <c r="G299" s="7">
        <v>91978</v>
      </c>
      <c r="H299" s="7">
        <v>2358</v>
      </c>
      <c r="I299" s="5">
        <v>250421.09</v>
      </c>
      <c r="J299" s="8">
        <v>1525</v>
      </c>
      <c r="K299" s="8">
        <v>2605</v>
      </c>
    </row>
    <row r="300" spans="1:11" ht="14.5" x14ac:dyDescent="0.35">
      <c r="A300" s="3">
        <v>44527</v>
      </c>
      <c r="B300" s="4">
        <v>2021</v>
      </c>
      <c r="C300" s="4" t="s">
        <v>13</v>
      </c>
      <c r="D300" s="4" t="s">
        <v>16</v>
      </c>
      <c r="E300" s="5">
        <v>325505.61</v>
      </c>
      <c r="F300" s="7">
        <v>17304447</v>
      </c>
      <c r="G300" s="7">
        <v>259690</v>
      </c>
      <c r="H300" s="7">
        <v>4147</v>
      </c>
      <c r="I300" s="5">
        <v>438037.83</v>
      </c>
      <c r="J300" s="8">
        <v>2037</v>
      </c>
      <c r="K300" s="8">
        <v>3501</v>
      </c>
    </row>
    <row r="301" spans="1:11" ht="14.5" x14ac:dyDescent="0.35">
      <c r="A301" s="3">
        <v>44527</v>
      </c>
      <c r="B301" s="4">
        <v>2021</v>
      </c>
      <c r="C301" s="4" t="s">
        <v>11</v>
      </c>
      <c r="D301" s="4" t="s">
        <v>12</v>
      </c>
      <c r="E301" s="5">
        <v>59781.27</v>
      </c>
      <c r="F301" s="7">
        <v>1597170</v>
      </c>
      <c r="G301" s="9">
        <v>4908.99</v>
      </c>
      <c r="H301" s="7">
        <v>58702</v>
      </c>
      <c r="I301" s="5">
        <v>527129.64</v>
      </c>
      <c r="J301" s="8">
        <v>1411</v>
      </c>
      <c r="K301" s="8">
        <v>1423</v>
      </c>
    </row>
    <row r="302" spans="1:11" ht="14.5" x14ac:dyDescent="0.35">
      <c r="A302" s="3">
        <v>44527</v>
      </c>
      <c r="B302" s="4">
        <v>2021</v>
      </c>
      <c r="C302" s="4" t="s">
        <v>11</v>
      </c>
      <c r="D302" s="4" t="s">
        <v>15</v>
      </c>
      <c r="E302" s="5">
        <v>21538.95</v>
      </c>
      <c r="F302" s="7">
        <v>474710</v>
      </c>
      <c r="G302" s="9">
        <v>18348.02</v>
      </c>
      <c r="H302" s="7">
        <v>165829</v>
      </c>
      <c r="I302" s="5">
        <v>2049146.69</v>
      </c>
      <c r="J302" s="8">
        <v>1111</v>
      </c>
      <c r="K302" s="8">
        <v>1123</v>
      </c>
    </row>
    <row r="303" spans="1:11" ht="14.5" x14ac:dyDescent="0.35">
      <c r="A303" s="3">
        <v>44527</v>
      </c>
      <c r="B303" s="4">
        <v>2021</v>
      </c>
      <c r="C303" s="4" t="s">
        <v>13</v>
      </c>
      <c r="D303" s="4" t="s">
        <v>14</v>
      </c>
      <c r="E303" s="5">
        <v>166766.57</v>
      </c>
      <c r="F303" s="7">
        <v>11057870</v>
      </c>
      <c r="G303" s="7">
        <v>434307</v>
      </c>
      <c r="H303" s="7">
        <v>9800</v>
      </c>
      <c r="I303" s="5">
        <v>1080776.8799999999</v>
      </c>
      <c r="J303" s="8">
        <v>1965</v>
      </c>
      <c r="K303" s="8">
        <v>3375</v>
      </c>
    </row>
    <row r="304" spans="1:11" ht="14.5" x14ac:dyDescent="0.35">
      <c r="A304" s="3">
        <v>44534</v>
      </c>
      <c r="B304" s="4">
        <v>2021</v>
      </c>
      <c r="C304" s="4" t="s">
        <v>13</v>
      </c>
      <c r="D304" s="4" t="s">
        <v>17</v>
      </c>
      <c r="E304" s="5">
        <v>140761.81</v>
      </c>
      <c r="F304" s="7">
        <v>6420226</v>
      </c>
      <c r="G304" s="7">
        <v>302163</v>
      </c>
      <c r="H304" s="7">
        <v>10431</v>
      </c>
      <c r="I304" s="5">
        <v>70345.429999999993</v>
      </c>
      <c r="J304" s="8">
        <v>1909</v>
      </c>
      <c r="K304" s="8">
        <v>3277</v>
      </c>
    </row>
    <row r="305" spans="1:11" ht="14.5" x14ac:dyDescent="0.35">
      <c r="A305" s="3">
        <v>44534</v>
      </c>
      <c r="B305" s="4">
        <v>2021</v>
      </c>
      <c r="C305" s="4" t="s">
        <v>13</v>
      </c>
      <c r="D305" s="4" t="s">
        <v>18</v>
      </c>
      <c r="E305" s="5">
        <v>56160.54</v>
      </c>
      <c r="F305" s="7">
        <v>3771947</v>
      </c>
      <c r="G305" s="7">
        <v>149728</v>
      </c>
      <c r="H305" s="7">
        <v>2497</v>
      </c>
      <c r="I305" s="5">
        <v>261971.82</v>
      </c>
      <c r="J305" s="8">
        <v>1557</v>
      </c>
      <c r="K305" s="8">
        <v>2661</v>
      </c>
    </row>
    <row r="306" spans="1:11" ht="14.5" x14ac:dyDescent="0.35">
      <c r="A306" s="3">
        <v>44534</v>
      </c>
      <c r="B306" s="4">
        <v>2021</v>
      </c>
      <c r="C306" s="4" t="s">
        <v>11</v>
      </c>
      <c r="D306" s="4" t="s">
        <v>12</v>
      </c>
      <c r="E306" s="5">
        <v>73522.539999999994</v>
      </c>
      <c r="F306" s="7">
        <v>3705254</v>
      </c>
      <c r="G306" s="9">
        <v>4131.92</v>
      </c>
      <c r="H306" s="7">
        <v>91240</v>
      </c>
      <c r="I306" s="5">
        <v>412554.41</v>
      </c>
      <c r="J306" s="8">
        <v>1447</v>
      </c>
      <c r="K306" s="8">
        <v>1459</v>
      </c>
    </row>
    <row r="307" spans="1:11" ht="14.5" x14ac:dyDescent="0.35">
      <c r="A307" s="3">
        <v>44534</v>
      </c>
      <c r="B307" s="4">
        <v>2021</v>
      </c>
      <c r="C307" s="4" t="s">
        <v>13</v>
      </c>
      <c r="D307" s="4" t="s">
        <v>16</v>
      </c>
      <c r="E307" s="5">
        <v>506149.72</v>
      </c>
      <c r="F307" s="7">
        <v>29048696</v>
      </c>
      <c r="G307" s="7">
        <v>813450</v>
      </c>
      <c r="H307" s="7">
        <v>15394</v>
      </c>
      <c r="I307" s="5">
        <v>1417341.88</v>
      </c>
      <c r="J307" s="8">
        <v>2065</v>
      </c>
      <c r="K307" s="8">
        <v>3550</v>
      </c>
    </row>
    <row r="308" spans="1:11" ht="14.5" x14ac:dyDescent="0.35">
      <c r="A308" s="3">
        <v>44534</v>
      </c>
      <c r="B308" s="4">
        <v>2021</v>
      </c>
      <c r="C308" s="4" t="s">
        <v>13</v>
      </c>
      <c r="D308" s="4" t="s">
        <v>14</v>
      </c>
      <c r="E308" s="5">
        <v>204406.93</v>
      </c>
      <c r="F308" s="7">
        <v>9467730</v>
      </c>
      <c r="G308" s="7">
        <v>410573</v>
      </c>
      <c r="H308" s="7">
        <v>24431</v>
      </c>
      <c r="I308" s="5">
        <v>2331864.98</v>
      </c>
      <c r="J308" s="8">
        <v>2001</v>
      </c>
      <c r="K308" s="8">
        <v>3438</v>
      </c>
    </row>
    <row r="309" spans="1:11" ht="14.5" x14ac:dyDescent="0.35">
      <c r="A309" s="3">
        <v>44534</v>
      </c>
      <c r="B309" s="4">
        <v>2021</v>
      </c>
      <c r="C309" s="4" t="s">
        <v>11</v>
      </c>
      <c r="D309" s="4" t="s">
        <v>15</v>
      </c>
      <c r="E309" s="5">
        <v>29309.48</v>
      </c>
      <c r="F309" s="7">
        <v>641005</v>
      </c>
      <c r="G309" s="9">
        <v>36982</v>
      </c>
      <c r="H309" s="7">
        <v>322551</v>
      </c>
      <c r="I309" s="5">
        <v>3896701.67</v>
      </c>
      <c r="J309" s="8">
        <v>1195</v>
      </c>
      <c r="K309" s="8">
        <v>1207</v>
      </c>
    </row>
    <row r="310" spans="1:11" ht="14.5" x14ac:dyDescent="0.35">
      <c r="A310" s="3">
        <v>44541</v>
      </c>
      <c r="B310" s="4">
        <v>2021</v>
      </c>
      <c r="C310" s="4" t="s">
        <v>13</v>
      </c>
      <c r="D310" s="4" t="s">
        <v>17</v>
      </c>
      <c r="E310" s="5">
        <v>170342.01</v>
      </c>
      <c r="F310" s="7">
        <v>11638058</v>
      </c>
      <c r="G310" s="7">
        <v>644199</v>
      </c>
      <c r="H310" s="7">
        <v>16938</v>
      </c>
      <c r="I310" s="5">
        <v>254038.55</v>
      </c>
      <c r="J310" s="8">
        <v>1973</v>
      </c>
      <c r="K310" s="8">
        <v>3389</v>
      </c>
    </row>
    <row r="311" spans="1:11" ht="14.5" x14ac:dyDescent="0.35">
      <c r="A311" s="3">
        <v>44541</v>
      </c>
      <c r="B311" s="4">
        <v>2021</v>
      </c>
      <c r="C311" s="4" t="s">
        <v>11</v>
      </c>
      <c r="D311" s="4" t="s">
        <v>12</v>
      </c>
      <c r="E311" s="5">
        <v>73732.81</v>
      </c>
      <c r="F311" s="7">
        <v>2189156</v>
      </c>
      <c r="G311" s="9">
        <v>2712.05</v>
      </c>
      <c r="H311" s="7">
        <v>71703</v>
      </c>
      <c r="I311" s="5">
        <v>328365.32</v>
      </c>
      <c r="J311" s="8">
        <v>1453</v>
      </c>
      <c r="K311" s="8">
        <v>1465</v>
      </c>
    </row>
    <row r="312" spans="1:11" ht="14.5" x14ac:dyDescent="0.35">
      <c r="A312" s="3">
        <v>44541</v>
      </c>
      <c r="B312" s="4">
        <v>2021</v>
      </c>
      <c r="C312" s="4" t="s">
        <v>13</v>
      </c>
      <c r="D312" s="4" t="s">
        <v>18</v>
      </c>
      <c r="E312" s="5">
        <v>118143.77</v>
      </c>
      <c r="F312" s="7">
        <v>6136064</v>
      </c>
      <c r="G312" s="7">
        <v>154921</v>
      </c>
      <c r="H312" s="7">
        <v>3219</v>
      </c>
      <c r="I312" s="5">
        <v>306482.43</v>
      </c>
      <c r="J312" s="8">
        <v>1829</v>
      </c>
      <c r="K312" s="8">
        <v>3137</v>
      </c>
    </row>
    <row r="313" spans="1:11" ht="14.5" x14ac:dyDescent="0.35">
      <c r="A313" s="3">
        <v>44541</v>
      </c>
      <c r="B313" s="4">
        <v>2021</v>
      </c>
      <c r="C313" s="4" t="s">
        <v>13</v>
      </c>
      <c r="D313" s="4" t="s">
        <v>16</v>
      </c>
      <c r="E313" s="5">
        <v>570505.31999999995</v>
      </c>
      <c r="F313" s="7">
        <v>37042100</v>
      </c>
      <c r="G313" s="7">
        <v>981368</v>
      </c>
      <c r="H313" s="7">
        <v>21324</v>
      </c>
      <c r="I313" s="5">
        <v>1947498.32</v>
      </c>
      <c r="J313" s="8">
        <v>2081</v>
      </c>
      <c r="K313" s="8">
        <v>3578</v>
      </c>
    </row>
    <row r="314" spans="1:11" ht="14.5" x14ac:dyDescent="0.35">
      <c r="A314" s="3">
        <v>44541</v>
      </c>
      <c r="B314" s="4">
        <v>2021</v>
      </c>
      <c r="C314" s="4" t="s">
        <v>11</v>
      </c>
      <c r="D314" s="4" t="s">
        <v>15</v>
      </c>
      <c r="E314" s="5">
        <v>44073.18</v>
      </c>
      <c r="F314" s="7">
        <v>1696626</v>
      </c>
      <c r="G314" s="9">
        <v>139437.42000000001</v>
      </c>
      <c r="H314" s="7">
        <v>1082654</v>
      </c>
      <c r="I314" s="5">
        <v>14997207.82</v>
      </c>
      <c r="J314" s="8">
        <v>1297</v>
      </c>
      <c r="K314" s="8">
        <v>1309</v>
      </c>
    </row>
    <row r="315" spans="1:11" ht="14.5" x14ac:dyDescent="0.35">
      <c r="A315" s="3">
        <v>44541</v>
      </c>
      <c r="B315" s="4">
        <v>2021</v>
      </c>
      <c r="C315" s="4" t="s">
        <v>13</v>
      </c>
      <c r="D315" s="4" t="s">
        <v>14</v>
      </c>
      <c r="E315" s="5">
        <v>307655.08</v>
      </c>
      <c r="F315" s="7">
        <v>17306664</v>
      </c>
      <c r="G315" s="7">
        <v>574656</v>
      </c>
      <c r="H315" s="7">
        <v>14752</v>
      </c>
      <c r="I315" s="5">
        <v>1509757.26</v>
      </c>
      <c r="J315" s="8">
        <v>2033</v>
      </c>
      <c r="K315" s="8">
        <v>3494</v>
      </c>
    </row>
    <row r="316" spans="1:11" ht="14.5" x14ac:dyDescent="0.35">
      <c r="A316" s="3">
        <v>44548</v>
      </c>
      <c r="B316" s="4">
        <v>2021</v>
      </c>
      <c r="C316" s="4" t="s">
        <v>13</v>
      </c>
      <c r="D316" s="4" t="s">
        <v>17</v>
      </c>
      <c r="E316" s="5">
        <v>175240.66</v>
      </c>
      <c r="F316" s="7">
        <v>12515185</v>
      </c>
      <c r="G316" s="7">
        <v>642958</v>
      </c>
      <c r="H316" s="7">
        <v>16516</v>
      </c>
      <c r="I316" s="5">
        <v>215947.53</v>
      </c>
      <c r="J316" s="8">
        <v>1977</v>
      </c>
      <c r="K316" s="8">
        <v>3396</v>
      </c>
    </row>
    <row r="317" spans="1:11" ht="14.5" x14ac:dyDescent="0.35">
      <c r="A317" s="3">
        <v>44548</v>
      </c>
      <c r="B317" s="4">
        <v>2021</v>
      </c>
      <c r="C317" s="4" t="s">
        <v>13</v>
      </c>
      <c r="D317" s="4" t="s">
        <v>14</v>
      </c>
      <c r="E317" s="5">
        <v>361703.34</v>
      </c>
      <c r="F317" s="7">
        <v>31109485</v>
      </c>
      <c r="G317" s="7">
        <v>823563</v>
      </c>
      <c r="H317" s="7">
        <v>64214</v>
      </c>
      <c r="I317" s="5">
        <v>6193875.6500000004</v>
      </c>
      <c r="J317" s="8">
        <v>2045</v>
      </c>
      <c r="K317" s="8">
        <v>3515</v>
      </c>
    </row>
    <row r="318" spans="1:11" ht="14.5" x14ac:dyDescent="0.35">
      <c r="A318" s="3">
        <v>44548</v>
      </c>
      <c r="B318" s="4">
        <v>2021</v>
      </c>
      <c r="C318" s="4" t="s">
        <v>13</v>
      </c>
      <c r="D318" s="4" t="s">
        <v>18</v>
      </c>
      <c r="E318" s="5">
        <v>123896.08</v>
      </c>
      <c r="F318" s="7">
        <v>5361001</v>
      </c>
      <c r="G318" s="7">
        <v>184404</v>
      </c>
      <c r="H318" s="7">
        <v>7254</v>
      </c>
      <c r="I318" s="5">
        <v>644360.21</v>
      </c>
      <c r="J318" s="8">
        <v>1865</v>
      </c>
      <c r="K318" s="8">
        <v>3200</v>
      </c>
    </row>
    <row r="319" spans="1:11" ht="14.5" x14ac:dyDescent="0.35">
      <c r="A319" s="3">
        <v>44548</v>
      </c>
      <c r="B319" s="4">
        <v>2021</v>
      </c>
      <c r="C319" s="4" t="s">
        <v>11</v>
      </c>
      <c r="D319" s="4" t="s">
        <v>12</v>
      </c>
      <c r="E319" s="5">
        <v>131435.85999999999</v>
      </c>
      <c r="F319" s="7">
        <v>4278630</v>
      </c>
      <c r="G319" s="9">
        <v>7281.28</v>
      </c>
      <c r="H319" s="7">
        <v>146806</v>
      </c>
      <c r="I319" s="5">
        <v>810838.52</v>
      </c>
      <c r="J319" s="8">
        <v>1597</v>
      </c>
      <c r="K319" s="8">
        <v>1609</v>
      </c>
    </row>
    <row r="320" spans="1:11" ht="14.5" x14ac:dyDescent="0.35">
      <c r="A320" s="3">
        <v>44548</v>
      </c>
      <c r="B320" s="4">
        <v>2021</v>
      </c>
      <c r="C320" s="4" t="s">
        <v>11</v>
      </c>
      <c r="D320" s="4" t="s">
        <v>15</v>
      </c>
      <c r="E320" s="5">
        <v>49067.99</v>
      </c>
      <c r="F320" s="7">
        <v>961152</v>
      </c>
      <c r="G320" s="9">
        <v>21977.55</v>
      </c>
      <c r="H320" s="7">
        <v>370755</v>
      </c>
      <c r="I320" s="5">
        <v>2237184.86</v>
      </c>
      <c r="J320" s="8">
        <v>1345</v>
      </c>
      <c r="K320" s="8">
        <v>1357</v>
      </c>
    </row>
    <row r="321" spans="1:11" ht="14.5" x14ac:dyDescent="0.35">
      <c r="A321" s="3">
        <v>44548</v>
      </c>
      <c r="B321" s="4">
        <v>2021</v>
      </c>
      <c r="C321" s="4" t="s">
        <v>13</v>
      </c>
      <c r="D321" s="4" t="s">
        <v>16</v>
      </c>
      <c r="E321" s="5">
        <v>682840.84</v>
      </c>
      <c r="F321" s="7">
        <v>39453242</v>
      </c>
      <c r="G321" s="7">
        <v>1167690</v>
      </c>
      <c r="H321" s="7">
        <v>33289</v>
      </c>
      <c r="I321" s="5">
        <v>2740191.55</v>
      </c>
      <c r="J321" s="8">
        <v>2093</v>
      </c>
      <c r="K321" s="8">
        <v>3599</v>
      </c>
    </row>
    <row r="322" spans="1:11" ht="14.5" x14ac:dyDescent="0.35">
      <c r="A322" s="3">
        <v>44555</v>
      </c>
      <c r="B322" s="4">
        <v>2021</v>
      </c>
      <c r="C322" s="4" t="s">
        <v>13</v>
      </c>
      <c r="D322" s="4" t="s">
        <v>17</v>
      </c>
      <c r="E322" s="5">
        <v>187685.9</v>
      </c>
      <c r="F322" s="7">
        <v>6816099</v>
      </c>
      <c r="G322" s="7">
        <v>366641</v>
      </c>
      <c r="H322" s="7">
        <v>12745</v>
      </c>
      <c r="I322" s="5">
        <v>133495.89000000001</v>
      </c>
      <c r="J322" s="8">
        <v>1985</v>
      </c>
      <c r="K322" s="8">
        <v>3410</v>
      </c>
    </row>
    <row r="323" spans="1:11" ht="14.5" x14ac:dyDescent="0.35">
      <c r="A323" s="3">
        <v>44555</v>
      </c>
      <c r="B323" s="4">
        <v>2021</v>
      </c>
      <c r="C323" s="4" t="s">
        <v>13</v>
      </c>
      <c r="D323" s="4" t="s">
        <v>14</v>
      </c>
      <c r="E323" s="5">
        <v>667775.64</v>
      </c>
      <c r="F323" s="7">
        <v>54993755</v>
      </c>
      <c r="G323" s="7">
        <v>1210339</v>
      </c>
      <c r="H323" s="7">
        <v>75028</v>
      </c>
      <c r="I323" s="5">
        <v>7920385.4500000002</v>
      </c>
      <c r="J323" s="8">
        <v>2089</v>
      </c>
      <c r="K323" s="8">
        <v>3592</v>
      </c>
    </row>
    <row r="324" spans="1:11" ht="14.5" x14ac:dyDescent="0.35">
      <c r="A324" s="3">
        <v>44555</v>
      </c>
      <c r="B324" s="4">
        <v>2021</v>
      </c>
      <c r="C324" s="4" t="s">
        <v>11</v>
      </c>
      <c r="D324" s="4" t="s">
        <v>12</v>
      </c>
      <c r="E324" s="5">
        <v>164218.23999999999</v>
      </c>
      <c r="F324" s="7">
        <v>5269147</v>
      </c>
      <c r="G324" s="9">
        <v>9052.4699999999993</v>
      </c>
      <c r="H324" s="7">
        <v>196569</v>
      </c>
      <c r="I324" s="5">
        <v>1026140.01</v>
      </c>
      <c r="J324" s="8">
        <v>1633</v>
      </c>
      <c r="K324" s="8">
        <v>1645</v>
      </c>
    </row>
    <row r="325" spans="1:11" ht="14.5" x14ac:dyDescent="0.35">
      <c r="A325" s="3">
        <v>44555</v>
      </c>
      <c r="B325" s="4">
        <v>2021</v>
      </c>
      <c r="C325" s="4" t="s">
        <v>13</v>
      </c>
      <c r="D325" s="4" t="s">
        <v>16</v>
      </c>
      <c r="E325" s="5">
        <v>813343.72</v>
      </c>
      <c r="F325" s="7">
        <v>38942697</v>
      </c>
      <c r="G325" s="7">
        <v>1205673</v>
      </c>
      <c r="H325" s="7">
        <v>42113</v>
      </c>
      <c r="I325" s="5">
        <v>3602371.33</v>
      </c>
      <c r="J325" s="8">
        <v>2101</v>
      </c>
      <c r="K325" s="8">
        <v>3613</v>
      </c>
    </row>
    <row r="326" spans="1:11" ht="14.5" x14ac:dyDescent="0.35">
      <c r="A326" s="3">
        <v>44555</v>
      </c>
      <c r="B326" s="4">
        <v>2021</v>
      </c>
      <c r="C326" s="4" t="s">
        <v>11</v>
      </c>
      <c r="D326" s="4" t="s">
        <v>15</v>
      </c>
      <c r="E326" s="5">
        <v>179140.65</v>
      </c>
      <c r="F326" s="7">
        <v>9449442</v>
      </c>
      <c r="G326" s="9">
        <v>463529.4</v>
      </c>
      <c r="H326" s="7">
        <v>5085305</v>
      </c>
      <c r="I326" s="5">
        <v>48805080.280000001</v>
      </c>
      <c r="J326" s="8">
        <v>1639</v>
      </c>
      <c r="K326" s="8">
        <v>1651</v>
      </c>
    </row>
    <row r="327" spans="1:11" ht="14.5" x14ac:dyDescent="0.35">
      <c r="A327" s="3">
        <v>44555</v>
      </c>
      <c r="B327" s="4">
        <v>2021</v>
      </c>
      <c r="C327" s="4" t="s">
        <v>13</v>
      </c>
      <c r="D327" s="4" t="s">
        <v>18</v>
      </c>
      <c r="E327" s="5">
        <v>160330.51</v>
      </c>
      <c r="F327" s="7">
        <v>8342127</v>
      </c>
      <c r="G327" s="7">
        <v>264952</v>
      </c>
      <c r="H327" s="7">
        <v>8606</v>
      </c>
      <c r="I327" s="5">
        <v>718396.16</v>
      </c>
      <c r="J327" s="8">
        <v>1945</v>
      </c>
      <c r="K327" s="8">
        <v>3340</v>
      </c>
    </row>
    <row r="328" spans="1:11" ht="14.5" x14ac:dyDescent="0.35">
      <c r="A328" s="3">
        <v>44562</v>
      </c>
      <c r="B328" s="4">
        <v>2022</v>
      </c>
      <c r="C328" s="4" t="s">
        <v>13</v>
      </c>
      <c r="D328" s="4" t="s">
        <v>16</v>
      </c>
      <c r="E328" s="5">
        <v>39317.120000000003</v>
      </c>
      <c r="F328" s="7">
        <v>3121032</v>
      </c>
      <c r="G328" s="7">
        <v>99326</v>
      </c>
      <c r="H328" s="4">
        <v>653</v>
      </c>
      <c r="I328" s="5">
        <v>62716.31</v>
      </c>
      <c r="J328" s="8">
        <v>1373</v>
      </c>
      <c r="K328" s="8">
        <v>2339</v>
      </c>
    </row>
    <row r="329" spans="1:11" ht="14.5" x14ac:dyDescent="0.35">
      <c r="A329" s="3">
        <v>44562</v>
      </c>
      <c r="B329" s="4">
        <v>2022</v>
      </c>
      <c r="C329" s="4" t="s">
        <v>13</v>
      </c>
      <c r="D329" s="4" t="s">
        <v>14</v>
      </c>
      <c r="E329" s="5">
        <v>13777.76</v>
      </c>
      <c r="F329" s="7">
        <v>1078895</v>
      </c>
      <c r="G329" s="7">
        <v>36339</v>
      </c>
      <c r="H329" s="7">
        <v>2130</v>
      </c>
      <c r="I329" s="5">
        <v>201605.08</v>
      </c>
      <c r="J329" s="6">
        <v>897</v>
      </c>
      <c r="K329" s="8">
        <v>1506</v>
      </c>
    </row>
    <row r="330" spans="1:11" ht="14.5" x14ac:dyDescent="0.35">
      <c r="A330" s="3">
        <v>44569</v>
      </c>
      <c r="B330" s="4">
        <v>2022</v>
      </c>
      <c r="C330" s="4" t="s">
        <v>13</v>
      </c>
      <c r="D330" s="4" t="s">
        <v>16</v>
      </c>
      <c r="E330" s="5">
        <v>40442.14</v>
      </c>
      <c r="F330" s="7">
        <v>4623780</v>
      </c>
      <c r="G330" s="7">
        <v>186164</v>
      </c>
      <c r="H330" s="4">
        <v>204</v>
      </c>
      <c r="I330" s="5">
        <v>16370.95</v>
      </c>
      <c r="J330" s="8">
        <v>1389</v>
      </c>
      <c r="K330" s="8">
        <v>2367</v>
      </c>
    </row>
    <row r="331" spans="1:11" ht="14.5" x14ac:dyDescent="0.35">
      <c r="A331" s="3">
        <v>44569</v>
      </c>
      <c r="B331" s="4">
        <v>2022</v>
      </c>
      <c r="C331" s="4" t="s">
        <v>13</v>
      </c>
      <c r="D331" s="4" t="s">
        <v>14</v>
      </c>
      <c r="E331" s="5">
        <v>14754.05</v>
      </c>
      <c r="F331" s="7">
        <v>1248072</v>
      </c>
      <c r="G331" s="7">
        <v>42722</v>
      </c>
      <c r="H331" s="7">
        <v>1337</v>
      </c>
      <c r="I331" s="5">
        <v>156532.64000000001</v>
      </c>
      <c r="J331" s="6">
        <v>909</v>
      </c>
      <c r="K331" s="8">
        <v>1527</v>
      </c>
    </row>
    <row r="332" spans="1:11" ht="14.5" x14ac:dyDescent="0.35">
      <c r="A332" s="3">
        <v>44576</v>
      </c>
      <c r="B332" s="4">
        <v>2022</v>
      </c>
      <c r="C332" s="4" t="s">
        <v>13</v>
      </c>
      <c r="D332" s="4" t="s">
        <v>14</v>
      </c>
      <c r="E332" s="5">
        <v>16701.54</v>
      </c>
      <c r="F332" s="7">
        <v>1461549</v>
      </c>
      <c r="G332" s="7">
        <v>45005</v>
      </c>
      <c r="H332" s="7">
        <v>1675</v>
      </c>
      <c r="I332" s="5">
        <v>187709.54</v>
      </c>
      <c r="J332" s="6">
        <v>945</v>
      </c>
      <c r="K332" s="8">
        <v>1590</v>
      </c>
    </row>
    <row r="333" spans="1:11" ht="14.5" x14ac:dyDescent="0.35">
      <c r="A333" s="3">
        <v>44576</v>
      </c>
      <c r="B333" s="4">
        <v>2022</v>
      </c>
      <c r="C333" s="4" t="s">
        <v>13</v>
      </c>
      <c r="D333" s="4" t="s">
        <v>16</v>
      </c>
      <c r="E333" s="5">
        <v>41089.61</v>
      </c>
      <c r="F333" s="7">
        <v>5556145</v>
      </c>
      <c r="G333" s="7">
        <v>128185</v>
      </c>
      <c r="H333" s="7">
        <v>3068</v>
      </c>
      <c r="I333" s="5">
        <v>251818.53</v>
      </c>
      <c r="J333" s="8">
        <v>1397</v>
      </c>
      <c r="K333" s="8">
        <v>2381</v>
      </c>
    </row>
    <row r="334" spans="1:11" ht="14.5" x14ac:dyDescent="0.35">
      <c r="A334" s="3">
        <v>44583</v>
      </c>
      <c r="B334" s="4">
        <v>2022</v>
      </c>
      <c r="C334" s="4" t="s">
        <v>13</v>
      </c>
      <c r="D334" s="4" t="s">
        <v>16</v>
      </c>
      <c r="E334" s="5">
        <v>41807.61</v>
      </c>
      <c r="F334" s="7">
        <v>4231008</v>
      </c>
      <c r="G334" s="7">
        <v>96102</v>
      </c>
      <c r="H334" s="7">
        <v>1999</v>
      </c>
      <c r="I334" s="5">
        <v>172719.4</v>
      </c>
      <c r="J334" s="8">
        <v>1401</v>
      </c>
      <c r="K334" s="8">
        <v>2388</v>
      </c>
    </row>
    <row r="335" spans="1:11" ht="14.5" x14ac:dyDescent="0.35">
      <c r="A335" s="3">
        <v>44583</v>
      </c>
      <c r="B335" s="4">
        <v>2022</v>
      </c>
      <c r="C335" s="4" t="s">
        <v>13</v>
      </c>
      <c r="D335" s="4" t="s">
        <v>14</v>
      </c>
      <c r="E335" s="5">
        <v>17682.03</v>
      </c>
      <c r="F335" s="7">
        <v>1438711</v>
      </c>
      <c r="G335" s="7">
        <v>56476</v>
      </c>
      <c r="H335" s="7">
        <v>1378</v>
      </c>
      <c r="I335" s="5">
        <v>148097.23000000001</v>
      </c>
      <c r="J335" s="6">
        <v>961</v>
      </c>
      <c r="K335" s="8">
        <v>1618</v>
      </c>
    </row>
    <row r="336" spans="1:11" ht="14.5" x14ac:dyDescent="0.35">
      <c r="A336" s="3">
        <v>44590</v>
      </c>
      <c r="B336" s="4">
        <v>2022</v>
      </c>
      <c r="C336" s="4" t="s">
        <v>13</v>
      </c>
      <c r="D336" s="4" t="s">
        <v>14</v>
      </c>
      <c r="E336" s="5">
        <v>18027.55</v>
      </c>
      <c r="F336" s="7">
        <v>6220948</v>
      </c>
      <c r="G336" s="7">
        <v>9928</v>
      </c>
      <c r="H336" s="7">
        <v>1487</v>
      </c>
      <c r="I336" s="5">
        <v>190300.49</v>
      </c>
      <c r="J336" s="6">
        <v>969</v>
      </c>
      <c r="K336" s="8">
        <v>1632</v>
      </c>
    </row>
    <row r="337" spans="1:11" ht="14.5" x14ac:dyDescent="0.35">
      <c r="A337" s="3">
        <v>44590</v>
      </c>
      <c r="B337" s="4">
        <v>2022</v>
      </c>
      <c r="C337" s="4" t="s">
        <v>13</v>
      </c>
      <c r="D337" s="4" t="s">
        <v>16</v>
      </c>
      <c r="E337" s="5">
        <v>42496.800000000003</v>
      </c>
      <c r="F337" s="7">
        <v>2700225</v>
      </c>
      <c r="G337" s="7">
        <v>69816</v>
      </c>
      <c r="H337" s="7">
        <v>1559</v>
      </c>
      <c r="I337" s="5">
        <v>157877.29</v>
      </c>
      <c r="J337" s="8">
        <v>1405</v>
      </c>
      <c r="K337" s="8">
        <v>2395</v>
      </c>
    </row>
    <row r="338" spans="1:11" ht="14.5" x14ac:dyDescent="0.35">
      <c r="A338" s="3">
        <v>44597</v>
      </c>
      <c r="B338" s="4">
        <v>2022</v>
      </c>
      <c r="C338" s="4" t="s">
        <v>13</v>
      </c>
      <c r="D338" s="4" t="s">
        <v>16</v>
      </c>
      <c r="E338" s="5">
        <v>42718.75</v>
      </c>
      <c r="F338" s="7">
        <v>2254695</v>
      </c>
      <c r="G338" s="7">
        <v>40177</v>
      </c>
      <c r="H338" s="4">
        <v>335</v>
      </c>
      <c r="I338" s="5">
        <v>35954.239999999998</v>
      </c>
      <c r="J338" s="8">
        <v>1413</v>
      </c>
      <c r="K338" s="8">
        <v>2409</v>
      </c>
    </row>
    <row r="339" spans="1:11" ht="14.5" x14ac:dyDescent="0.35">
      <c r="A339" s="3">
        <v>44597</v>
      </c>
      <c r="B339" s="4">
        <v>2022</v>
      </c>
      <c r="C339" s="4" t="s">
        <v>13</v>
      </c>
      <c r="D339" s="4" t="s">
        <v>14</v>
      </c>
      <c r="E339" s="5">
        <v>18394.78</v>
      </c>
      <c r="F339" s="7">
        <v>1135005</v>
      </c>
      <c r="G339" s="7">
        <v>62719</v>
      </c>
      <c r="H339" s="7">
        <v>1217</v>
      </c>
      <c r="I339" s="5">
        <v>146122.79999999999</v>
      </c>
      <c r="J339" s="6">
        <v>977</v>
      </c>
      <c r="K339" s="8">
        <v>1646</v>
      </c>
    </row>
    <row r="340" spans="1:11" ht="14.5" x14ac:dyDescent="0.35">
      <c r="A340" s="3">
        <v>44604</v>
      </c>
      <c r="B340" s="4">
        <v>2022</v>
      </c>
      <c r="C340" s="4" t="s">
        <v>13</v>
      </c>
      <c r="D340" s="4" t="s">
        <v>16</v>
      </c>
      <c r="E340" s="5">
        <v>43358.82</v>
      </c>
      <c r="F340" s="7">
        <v>2958794</v>
      </c>
      <c r="G340" s="7">
        <v>107021</v>
      </c>
      <c r="H340" s="7">
        <v>1448</v>
      </c>
      <c r="I340" s="5">
        <v>134623.81</v>
      </c>
      <c r="J340" s="8">
        <v>1433</v>
      </c>
      <c r="K340" s="8">
        <v>2444</v>
      </c>
    </row>
    <row r="341" spans="1:11" ht="14.5" x14ac:dyDescent="0.35">
      <c r="A341" s="3">
        <v>44604</v>
      </c>
      <c r="B341" s="4">
        <v>2022</v>
      </c>
      <c r="C341" s="4" t="s">
        <v>13</v>
      </c>
      <c r="D341" s="4" t="s">
        <v>14</v>
      </c>
      <c r="E341" s="5">
        <v>18478.3</v>
      </c>
      <c r="F341" s="7">
        <v>1467247</v>
      </c>
      <c r="G341" s="7">
        <v>52036</v>
      </c>
      <c r="H341" s="7">
        <v>1824</v>
      </c>
      <c r="I341" s="5">
        <v>188698.03</v>
      </c>
      <c r="J341" s="6">
        <v>981</v>
      </c>
      <c r="K341" s="8">
        <v>1653</v>
      </c>
    </row>
    <row r="342" spans="1:11" ht="14.5" x14ac:dyDescent="0.35">
      <c r="A342" s="3">
        <v>44611</v>
      </c>
      <c r="B342" s="4">
        <v>2022</v>
      </c>
      <c r="C342" s="4" t="s">
        <v>13</v>
      </c>
      <c r="D342" s="4" t="s">
        <v>16</v>
      </c>
      <c r="E342" s="5">
        <v>43524.06</v>
      </c>
      <c r="F342" s="7">
        <v>3111850</v>
      </c>
      <c r="G342" s="7">
        <v>105030</v>
      </c>
      <c r="H342" s="7">
        <v>1113</v>
      </c>
      <c r="I342" s="5">
        <v>136970.99</v>
      </c>
      <c r="J342" s="8">
        <v>1437</v>
      </c>
      <c r="K342" s="8">
        <v>2451</v>
      </c>
    </row>
    <row r="343" spans="1:11" ht="14.5" x14ac:dyDescent="0.35">
      <c r="A343" s="3">
        <v>44611</v>
      </c>
      <c r="B343" s="4">
        <v>2022</v>
      </c>
      <c r="C343" s="4" t="s">
        <v>13</v>
      </c>
      <c r="D343" s="4" t="s">
        <v>14</v>
      </c>
      <c r="E343" s="5">
        <v>18868.29</v>
      </c>
      <c r="F343" s="7">
        <v>1865341</v>
      </c>
      <c r="G343" s="7">
        <v>71342</v>
      </c>
      <c r="H343" s="7">
        <v>1910</v>
      </c>
      <c r="I343" s="5">
        <v>176559.23</v>
      </c>
      <c r="J343" s="6">
        <v>993</v>
      </c>
      <c r="K343" s="8">
        <v>1674</v>
      </c>
    </row>
    <row r="344" spans="1:11" ht="14.5" x14ac:dyDescent="0.35">
      <c r="A344" s="3">
        <v>44618</v>
      </c>
      <c r="B344" s="4">
        <v>2022</v>
      </c>
      <c r="C344" s="4" t="s">
        <v>13</v>
      </c>
      <c r="D344" s="4" t="s">
        <v>16</v>
      </c>
      <c r="E344" s="5">
        <v>47393.68</v>
      </c>
      <c r="F344" s="7">
        <v>3189669</v>
      </c>
      <c r="G344" s="7">
        <v>104863</v>
      </c>
      <c r="H344" s="7">
        <v>2352</v>
      </c>
      <c r="I344" s="5">
        <v>193531.44</v>
      </c>
      <c r="J344" s="8">
        <v>1473</v>
      </c>
      <c r="K344" s="8">
        <v>2514</v>
      </c>
    </row>
    <row r="345" spans="1:11" ht="14.5" x14ac:dyDescent="0.35">
      <c r="A345" s="3">
        <v>44618</v>
      </c>
      <c r="B345" s="4">
        <v>2022</v>
      </c>
      <c r="C345" s="4" t="s">
        <v>13</v>
      </c>
      <c r="D345" s="4" t="s">
        <v>14</v>
      </c>
      <c r="E345" s="5">
        <v>18887.939999999999</v>
      </c>
      <c r="F345" s="7">
        <v>1740983</v>
      </c>
      <c r="G345" s="7">
        <v>61596</v>
      </c>
      <c r="H345" s="7">
        <v>1793</v>
      </c>
      <c r="I345" s="5">
        <v>160520.5</v>
      </c>
      <c r="J345" s="6">
        <v>997</v>
      </c>
      <c r="K345" s="8">
        <v>1681</v>
      </c>
    </row>
    <row r="346" spans="1:11" ht="14.5" x14ac:dyDescent="0.35">
      <c r="A346" s="3">
        <v>44625</v>
      </c>
      <c r="B346" s="4">
        <v>2022</v>
      </c>
      <c r="C346" s="4" t="s">
        <v>13</v>
      </c>
      <c r="D346" s="4" t="s">
        <v>16</v>
      </c>
      <c r="E346" s="5">
        <v>48557.02</v>
      </c>
      <c r="F346" s="7">
        <v>2721360</v>
      </c>
      <c r="G346" s="7">
        <v>65786</v>
      </c>
      <c r="H346" s="7">
        <v>1197</v>
      </c>
      <c r="I346" s="5">
        <v>120156.22</v>
      </c>
      <c r="J346" s="8">
        <v>1481</v>
      </c>
      <c r="K346" s="8">
        <v>2528</v>
      </c>
    </row>
    <row r="347" spans="1:11" ht="14.5" x14ac:dyDescent="0.35">
      <c r="A347" s="3">
        <v>44625</v>
      </c>
      <c r="B347" s="4">
        <v>2022</v>
      </c>
      <c r="C347" s="4" t="s">
        <v>13</v>
      </c>
      <c r="D347" s="4" t="s">
        <v>14</v>
      </c>
      <c r="E347" s="5">
        <v>20954.78</v>
      </c>
      <c r="F347" s="7">
        <v>1476726</v>
      </c>
      <c r="G347" s="7">
        <v>51414</v>
      </c>
      <c r="H347" s="7">
        <v>2363</v>
      </c>
      <c r="I347" s="5">
        <v>267644.2</v>
      </c>
      <c r="J347" s="8">
        <v>1041</v>
      </c>
      <c r="K347" s="8">
        <v>1758</v>
      </c>
    </row>
    <row r="348" spans="1:11" ht="14.5" x14ac:dyDescent="0.35">
      <c r="A348" s="3">
        <v>44632</v>
      </c>
      <c r="B348" s="4">
        <v>2022</v>
      </c>
      <c r="C348" s="4" t="s">
        <v>13</v>
      </c>
      <c r="D348" s="4" t="s">
        <v>16</v>
      </c>
      <c r="E348" s="5">
        <v>55275.33</v>
      </c>
      <c r="F348" s="7">
        <v>4602138</v>
      </c>
      <c r="G348" s="7">
        <v>133751</v>
      </c>
      <c r="H348" s="7">
        <v>1391</v>
      </c>
      <c r="I348" s="5">
        <v>127432.83</v>
      </c>
      <c r="J348" s="8">
        <v>1541</v>
      </c>
      <c r="K348" s="8">
        <v>2633</v>
      </c>
    </row>
    <row r="349" spans="1:11" ht="14.5" x14ac:dyDescent="0.35">
      <c r="A349" s="3">
        <v>44632</v>
      </c>
      <c r="B349" s="4">
        <v>2022</v>
      </c>
      <c r="C349" s="4" t="s">
        <v>13</v>
      </c>
      <c r="D349" s="4" t="s">
        <v>14</v>
      </c>
      <c r="E349" s="5">
        <v>21184.67</v>
      </c>
      <c r="F349" s="7">
        <v>1476340</v>
      </c>
      <c r="G349" s="7">
        <v>47698</v>
      </c>
      <c r="H349" s="7">
        <v>2285</v>
      </c>
      <c r="I349" s="5">
        <v>259152.45</v>
      </c>
      <c r="J349" s="8">
        <v>1045</v>
      </c>
      <c r="K349" s="8">
        <v>1765</v>
      </c>
    </row>
    <row r="350" spans="1:11" ht="14.5" x14ac:dyDescent="0.35">
      <c r="A350" s="3">
        <v>44639</v>
      </c>
      <c r="B350" s="4">
        <v>2022</v>
      </c>
      <c r="C350" s="4" t="s">
        <v>13</v>
      </c>
      <c r="D350" s="4" t="s">
        <v>16</v>
      </c>
      <c r="E350" s="5">
        <v>55533.41</v>
      </c>
      <c r="F350" s="7">
        <v>2926904</v>
      </c>
      <c r="G350" s="7">
        <v>97127</v>
      </c>
      <c r="H350" s="7">
        <v>1066</v>
      </c>
      <c r="I350" s="5">
        <v>125759.83</v>
      </c>
      <c r="J350" s="8">
        <v>1545</v>
      </c>
      <c r="K350" s="8">
        <v>2640</v>
      </c>
    </row>
    <row r="351" spans="1:11" ht="14.5" x14ac:dyDescent="0.35">
      <c r="A351" s="3">
        <v>44639</v>
      </c>
      <c r="B351" s="4">
        <v>2022</v>
      </c>
      <c r="C351" s="4" t="s">
        <v>13</v>
      </c>
      <c r="D351" s="4" t="s">
        <v>14</v>
      </c>
      <c r="E351" s="5">
        <v>21499.53</v>
      </c>
      <c r="F351" s="7">
        <v>2106048</v>
      </c>
      <c r="G351" s="7">
        <v>69179</v>
      </c>
      <c r="H351" s="7">
        <v>2128</v>
      </c>
      <c r="I351" s="5">
        <v>250582.3</v>
      </c>
      <c r="J351" s="8">
        <v>1049</v>
      </c>
      <c r="K351" s="8">
        <v>1772</v>
      </c>
    </row>
    <row r="352" spans="1:11" ht="14.5" x14ac:dyDescent="0.35">
      <c r="A352" s="3">
        <v>44646</v>
      </c>
      <c r="B352" s="4">
        <v>2022</v>
      </c>
      <c r="C352" s="4" t="s">
        <v>13</v>
      </c>
      <c r="D352" s="4" t="s">
        <v>16</v>
      </c>
      <c r="E352" s="5">
        <v>56565.5</v>
      </c>
      <c r="F352" s="7">
        <v>3684555</v>
      </c>
      <c r="G352" s="7">
        <v>83675</v>
      </c>
      <c r="H352" s="7">
        <v>1918</v>
      </c>
      <c r="I352" s="5">
        <v>144300.76</v>
      </c>
      <c r="J352" s="8">
        <v>1569</v>
      </c>
      <c r="K352" s="8">
        <v>2682</v>
      </c>
    </row>
    <row r="353" spans="1:11" ht="14.5" x14ac:dyDescent="0.35">
      <c r="A353" s="3">
        <v>44646</v>
      </c>
      <c r="B353" s="4">
        <v>2022</v>
      </c>
      <c r="C353" s="4" t="s">
        <v>13</v>
      </c>
      <c r="D353" s="4" t="s">
        <v>14</v>
      </c>
      <c r="E353" s="5">
        <v>23042.33</v>
      </c>
      <c r="F353" s="7">
        <v>985124</v>
      </c>
      <c r="G353" s="7">
        <v>29252</v>
      </c>
      <c r="H353" s="7">
        <v>1628</v>
      </c>
      <c r="I353" s="5">
        <v>161528.39000000001</v>
      </c>
      <c r="J353" s="8">
        <v>1061</v>
      </c>
      <c r="K353" s="8">
        <v>1793</v>
      </c>
    </row>
    <row r="354" spans="1:11" ht="14.5" x14ac:dyDescent="0.35">
      <c r="A354" s="3">
        <v>44653</v>
      </c>
      <c r="B354" s="4">
        <v>2022</v>
      </c>
      <c r="C354" s="4" t="s">
        <v>13</v>
      </c>
      <c r="D354" s="4" t="s">
        <v>16</v>
      </c>
      <c r="E354" s="5">
        <v>57973.67</v>
      </c>
      <c r="F354" s="7">
        <v>5315468</v>
      </c>
      <c r="G354" s="7">
        <v>248541</v>
      </c>
      <c r="H354" s="4">
        <v>411</v>
      </c>
      <c r="I354" s="5">
        <v>36351.879999999997</v>
      </c>
      <c r="J354" s="8">
        <v>1581</v>
      </c>
      <c r="K354" s="8">
        <v>2703</v>
      </c>
    </row>
    <row r="355" spans="1:11" ht="14.5" x14ac:dyDescent="0.35">
      <c r="A355" s="3">
        <v>44653</v>
      </c>
      <c r="B355" s="4">
        <v>2022</v>
      </c>
      <c r="C355" s="4" t="s">
        <v>13</v>
      </c>
      <c r="D355" s="4" t="s">
        <v>14</v>
      </c>
      <c r="E355" s="5">
        <v>23216.65</v>
      </c>
      <c r="F355" s="7">
        <v>2194741</v>
      </c>
      <c r="G355" s="7">
        <v>71879</v>
      </c>
      <c r="H355" s="7">
        <v>2475</v>
      </c>
      <c r="I355" s="5">
        <v>240315.03</v>
      </c>
      <c r="J355" s="8">
        <v>1065</v>
      </c>
      <c r="K355" s="8">
        <v>1800</v>
      </c>
    </row>
    <row r="356" spans="1:11" ht="14.5" x14ac:dyDescent="0.35">
      <c r="A356" s="3">
        <v>44660</v>
      </c>
      <c r="B356" s="4">
        <v>2022</v>
      </c>
      <c r="C356" s="4" t="s">
        <v>13</v>
      </c>
      <c r="D356" s="4" t="s">
        <v>16</v>
      </c>
      <c r="E356" s="5">
        <v>59340.01</v>
      </c>
      <c r="F356" s="7">
        <v>4458929</v>
      </c>
      <c r="G356" s="7">
        <v>119411</v>
      </c>
      <c r="H356" s="7">
        <v>1301</v>
      </c>
      <c r="I356" s="5">
        <v>161321.48000000001</v>
      </c>
      <c r="J356" s="8">
        <v>1585</v>
      </c>
      <c r="K356" s="8">
        <v>2710</v>
      </c>
    </row>
    <row r="357" spans="1:11" ht="14.5" x14ac:dyDescent="0.35">
      <c r="A357" s="3">
        <v>44660</v>
      </c>
      <c r="B357" s="4">
        <v>2022</v>
      </c>
      <c r="C357" s="4" t="s">
        <v>13</v>
      </c>
      <c r="D357" s="4" t="s">
        <v>14</v>
      </c>
      <c r="E357" s="5">
        <v>24389.9</v>
      </c>
      <c r="F357" s="7">
        <v>1535524</v>
      </c>
      <c r="G357" s="7">
        <v>47434</v>
      </c>
      <c r="H357" s="7">
        <v>2285</v>
      </c>
      <c r="I357" s="5">
        <v>222920.08</v>
      </c>
      <c r="J357" s="8">
        <v>1089</v>
      </c>
      <c r="K357" s="8">
        <v>1842</v>
      </c>
    </row>
    <row r="358" spans="1:11" ht="14.5" x14ac:dyDescent="0.35">
      <c r="A358" s="3">
        <v>44667</v>
      </c>
      <c r="B358" s="4">
        <v>2022</v>
      </c>
      <c r="C358" s="4" t="s">
        <v>13</v>
      </c>
      <c r="D358" s="4" t="s">
        <v>16</v>
      </c>
      <c r="E358" s="5">
        <v>60043.199999999997</v>
      </c>
      <c r="F358" s="7">
        <v>4709390</v>
      </c>
      <c r="G358" s="7">
        <v>90687</v>
      </c>
      <c r="H358" s="7">
        <v>1124</v>
      </c>
      <c r="I358" s="5">
        <v>104771.46</v>
      </c>
      <c r="J358" s="8">
        <v>1593</v>
      </c>
      <c r="K358" s="8">
        <v>2724</v>
      </c>
    </row>
    <row r="359" spans="1:11" ht="14.5" x14ac:dyDescent="0.35">
      <c r="A359" s="3">
        <v>44667</v>
      </c>
      <c r="B359" s="4">
        <v>2022</v>
      </c>
      <c r="C359" s="4" t="s">
        <v>13</v>
      </c>
      <c r="D359" s="4" t="s">
        <v>14</v>
      </c>
      <c r="E359" s="5">
        <v>24414</v>
      </c>
      <c r="F359" s="7">
        <v>2854219</v>
      </c>
      <c r="G359" s="7">
        <v>88214</v>
      </c>
      <c r="H359" s="7">
        <v>3717</v>
      </c>
      <c r="I359" s="5">
        <v>355996.19</v>
      </c>
      <c r="J359" s="8">
        <v>1093</v>
      </c>
      <c r="K359" s="8">
        <v>1849</v>
      </c>
    </row>
    <row r="360" spans="1:11" ht="14.5" x14ac:dyDescent="0.35">
      <c r="A360" s="3">
        <v>44674</v>
      </c>
      <c r="B360" s="4">
        <v>2022</v>
      </c>
      <c r="C360" s="4" t="s">
        <v>13</v>
      </c>
      <c r="D360" s="4" t="s">
        <v>16</v>
      </c>
      <c r="E360" s="5">
        <v>62726.91</v>
      </c>
      <c r="F360" s="7">
        <v>17066594</v>
      </c>
      <c r="G360" s="7">
        <v>27234</v>
      </c>
      <c r="H360" s="7">
        <v>1131</v>
      </c>
      <c r="I360" s="5">
        <v>117322.89</v>
      </c>
      <c r="J360" s="8">
        <v>1609</v>
      </c>
      <c r="K360" s="8">
        <v>2752</v>
      </c>
    </row>
    <row r="361" spans="1:11" ht="14.5" x14ac:dyDescent="0.35">
      <c r="A361" s="3">
        <v>44674</v>
      </c>
      <c r="B361" s="4">
        <v>2022</v>
      </c>
      <c r="C361" s="4" t="s">
        <v>13</v>
      </c>
      <c r="D361" s="4" t="s">
        <v>14</v>
      </c>
      <c r="E361" s="5">
        <v>24529.7</v>
      </c>
      <c r="F361" s="7">
        <v>1676033</v>
      </c>
      <c r="G361" s="7">
        <v>64767</v>
      </c>
      <c r="H361" s="7">
        <v>4680</v>
      </c>
      <c r="I361" s="5">
        <v>450867.28</v>
      </c>
      <c r="J361" s="8">
        <v>1109</v>
      </c>
      <c r="K361" s="8">
        <v>1877</v>
      </c>
    </row>
    <row r="362" spans="1:11" ht="14.5" x14ac:dyDescent="0.35">
      <c r="A362" s="3">
        <v>44681</v>
      </c>
      <c r="B362" s="4">
        <v>2022</v>
      </c>
      <c r="C362" s="4" t="s">
        <v>13</v>
      </c>
      <c r="D362" s="4" t="s">
        <v>16</v>
      </c>
      <c r="E362" s="5">
        <v>65501.25</v>
      </c>
      <c r="F362" s="7">
        <v>6255667</v>
      </c>
      <c r="G362" s="7">
        <v>148813</v>
      </c>
      <c r="H362" s="7">
        <v>2412</v>
      </c>
      <c r="I362" s="5">
        <v>226581.92</v>
      </c>
      <c r="J362" s="8">
        <v>1621</v>
      </c>
      <c r="K362" s="8">
        <v>2773</v>
      </c>
    </row>
    <row r="363" spans="1:11" ht="14.5" x14ac:dyDescent="0.35">
      <c r="A363" s="3">
        <v>44681</v>
      </c>
      <c r="B363" s="4">
        <v>2022</v>
      </c>
      <c r="C363" s="4" t="s">
        <v>13</v>
      </c>
      <c r="D363" s="4" t="s">
        <v>14</v>
      </c>
      <c r="E363" s="5">
        <v>24887.81</v>
      </c>
      <c r="F363" s="7">
        <v>1776350</v>
      </c>
      <c r="G363" s="7">
        <v>63108</v>
      </c>
      <c r="H363" s="7">
        <v>3041</v>
      </c>
      <c r="I363" s="5">
        <v>270047.37</v>
      </c>
      <c r="J363" s="8">
        <v>1117</v>
      </c>
      <c r="K363" s="8">
        <v>1891</v>
      </c>
    </row>
    <row r="364" spans="1:11" ht="14.5" x14ac:dyDescent="0.35">
      <c r="A364" s="3">
        <v>44688</v>
      </c>
      <c r="B364" s="4">
        <v>2022</v>
      </c>
      <c r="C364" s="4" t="s">
        <v>13</v>
      </c>
      <c r="D364" s="4" t="s">
        <v>16</v>
      </c>
      <c r="E364" s="5">
        <v>67289.59</v>
      </c>
      <c r="F364" s="7">
        <v>5971068</v>
      </c>
      <c r="G364" s="7">
        <v>152912</v>
      </c>
      <c r="H364" s="7">
        <v>2304</v>
      </c>
      <c r="I364" s="5">
        <v>249219.69</v>
      </c>
      <c r="J364" s="8">
        <v>1633</v>
      </c>
      <c r="K364" s="8">
        <v>2794</v>
      </c>
    </row>
    <row r="365" spans="1:11" ht="14.5" x14ac:dyDescent="0.35">
      <c r="A365" s="3">
        <v>44688</v>
      </c>
      <c r="B365" s="4">
        <v>2022</v>
      </c>
      <c r="C365" s="4" t="s">
        <v>13</v>
      </c>
      <c r="D365" s="4" t="s">
        <v>14</v>
      </c>
      <c r="E365" s="5">
        <v>24938.49</v>
      </c>
      <c r="F365" s="7">
        <v>3300893</v>
      </c>
      <c r="G365" s="7">
        <v>143031</v>
      </c>
      <c r="H365" s="7">
        <v>4149</v>
      </c>
      <c r="I365" s="5">
        <v>415729.27</v>
      </c>
      <c r="J365" s="8">
        <v>1121</v>
      </c>
      <c r="K365" s="8">
        <v>1898</v>
      </c>
    </row>
    <row r="366" spans="1:11" ht="14.5" x14ac:dyDescent="0.35">
      <c r="A366" s="3">
        <v>44695</v>
      </c>
      <c r="B366" s="4">
        <v>2022</v>
      </c>
      <c r="C366" s="4" t="s">
        <v>13</v>
      </c>
      <c r="D366" s="4" t="s">
        <v>16</v>
      </c>
      <c r="E366" s="5">
        <v>72914.97</v>
      </c>
      <c r="F366" s="7">
        <v>5884203</v>
      </c>
      <c r="G366" s="7">
        <v>134277</v>
      </c>
      <c r="H366" s="7">
        <v>1427</v>
      </c>
      <c r="I366" s="5">
        <v>166200.74</v>
      </c>
      <c r="J366" s="8">
        <v>1657</v>
      </c>
      <c r="K366" s="8">
        <v>2836</v>
      </c>
    </row>
    <row r="367" spans="1:11" ht="14.5" x14ac:dyDescent="0.35">
      <c r="A367" s="3">
        <v>44695</v>
      </c>
      <c r="B367" s="4">
        <v>2022</v>
      </c>
      <c r="C367" s="4" t="s">
        <v>13</v>
      </c>
      <c r="D367" s="4" t="s">
        <v>14</v>
      </c>
      <c r="E367" s="5">
        <v>25419.82</v>
      </c>
      <c r="F367" s="7">
        <v>950297</v>
      </c>
      <c r="G367" s="7">
        <v>33015</v>
      </c>
      <c r="H367" s="7">
        <v>1961</v>
      </c>
      <c r="I367" s="5">
        <v>219400.2</v>
      </c>
      <c r="J367" s="8">
        <v>1129</v>
      </c>
      <c r="K367" s="8">
        <v>1912</v>
      </c>
    </row>
    <row r="368" spans="1:11" ht="14.5" x14ac:dyDescent="0.35">
      <c r="A368" s="3">
        <v>44702</v>
      </c>
      <c r="B368" s="4">
        <v>2022</v>
      </c>
      <c r="C368" s="4" t="s">
        <v>13</v>
      </c>
      <c r="D368" s="4" t="s">
        <v>14</v>
      </c>
      <c r="E368" s="5">
        <v>26795.42</v>
      </c>
      <c r="F368" s="7">
        <v>1284652</v>
      </c>
      <c r="G368" s="7">
        <v>33796</v>
      </c>
      <c r="H368" s="7">
        <v>1481</v>
      </c>
      <c r="I368" s="5">
        <v>132777.06</v>
      </c>
      <c r="J368" s="8">
        <v>1141</v>
      </c>
      <c r="K368" s="8">
        <v>1933</v>
      </c>
    </row>
    <row r="369" spans="1:11" ht="14.5" x14ac:dyDescent="0.35">
      <c r="A369" s="3">
        <v>44702</v>
      </c>
      <c r="B369" s="4">
        <v>2022</v>
      </c>
      <c r="C369" s="4" t="s">
        <v>13</v>
      </c>
      <c r="D369" s="4" t="s">
        <v>16</v>
      </c>
      <c r="E369" s="5">
        <v>84903.41</v>
      </c>
      <c r="F369" s="7">
        <v>8488337</v>
      </c>
      <c r="G369" s="7">
        <v>181147</v>
      </c>
      <c r="H369" s="7">
        <v>3261</v>
      </c>
      <c r="I369" s="5">
        <v>301459.48</v>
      </c>
      <c r="J369" s="8">
        <v>1705</v>
      </c>
      <c r="K369" s="8">
        <v>2920</v>
      </c>
    </row>
    <row r="370" spans="1:11" ht="14.5" x14ac:dyDescent="0.35">
      <c r="A370" s="3">
        <v>44709</v>
      </c>
      <c r="B370" s="4">
        <v>2022</v>
      </c>
      <c r="C370" s="4" t="s">
        <v>13</v>
      </c>
      <c r="D370" s="4" t="s">
        <v>16</v>
      </c>
      <c r="E370" s="5">
        <v>85158.6</v>
      </c>
      <c r="F370" s="7">
        <v>4092284</v>
      </c>
      <c r="G370" s="7">
        <v>120213</v>
      </c>
      <c r="H370" s="7">
        <v>1638</v>
      </c>
      <c r="I370" s="5">
        <v>182595.28</v>
      </c>
      <c r="J370" s="8">
        <v>1709</v>
      </c>
      <c r="K370" s="8">
        <v>2927</v>
      </c>
    </row>
    <row r="371" spans="1:11" ht="14.5" x14ac:dyDescent="0.35">
      <c r="A371" s="3">
        <v>44709</v>
      </c>
      <c r="B371" s="4">
        <v>2022</v>
      </c>
      <c r="C371" s="4" t="s">
        <v>13</v>
      </c>
      <c r="D371" s="4" t="s">
        <v>14</v>
      </c>
      <c r="E371" s="5">
        <v>27237.01</v>
      </c>
      <c r="F371" s="7">
        <v>1756809</v>
      </c>
      <c r="G371" s="7">
        <v>59065</v>
      </c>
      <c r="H371" s="7">
        <v>2704</v>
      </c>
      <c r="I371" s="5">
        <v>259911.4</v>
      </c>
      <c r="J371" s="8">
        <v>1153</v>
      </c>
      <c r="K371" s="8">
        <v>1954</v>
      </c>
    </row>
    <row r="372" spans="1:11" ht="14.5" x14ac:dyDescent="0.35">
      <c r="A372" s="3">
        <v>44716</v>
      </c>
      <c r="B372" s="4">
        <v>2022</v>
      </c>
      <c r="C372" s="4" t="s">
        <v>13</v>
      </c>
      <c r="D372" s="4" t="s">
        <v>16</v>
      </c>
      <c r="E372" s="5">
        <v>86528.45</v>
      </c>
      <c r="F372" s="7">
        <v>7642455</v>
      </c>
      <c r="G372" s="7">
        <v>169746</v>
      </c>
      <c r="H372" s="7">
        <v>2438</v>
      </c>
      <c r="I372" s="5">
        <v>231652.84</v>
      </c>
      <c r="J372" s="8">
        <v>1713</v>
      </c>
      <c r="K372" s="8">
        <v>2934</v>
      </c>
    </row>
    <row r="373" spans="1:11" ht="14.5" x14ac:dyDescent="0.35">
      <c r="A373" s="3">
        <v>44716</v>
      </c>
      <c r="B373" s="4">
        <v>2022</v>
      </c>
      <c r="C373" s="4" t="s">
        <v>13</v>
      </c>
      <c r="D373" s="4" t="s">
        <v>14</v>
      </c>
      <c r="E373" s="5">
        <v>29215.62</v>
      </c>
      <c r="F373" s="7">
        <v>1977906</v>
      </c>
      <c r="G373" s="7">
        <v>66540</v>
      </c>
      <c r="H373" s="7">
        <v>2271</v>
      </c>
      <c r="I373" s="5">
        <v>274092.40999999997</v>
      </c>
      <c r="J373" s="8">
        <v>1189</v>
      </c>
      <c r="K373" s="8">
        <v>2017</v>
      </c>
    </row>
    <row r="374" spans="1:11" ht="14.5" x14ac:dyDescent="0.35">
      <c r="A374" s="3">
        <v>44723</v>
      </c>
      <c r="B374" s="4">
        <v>2022</v>
      </c>
      <c r="C374" s="4" t="s">
        <v>13</v>
      </c>
      <c r="D374" s="4" t="s">
        <v>16</v>
      </c>
      <c r="E374" s="5">
        <v>87817.93</v>
      </c>
      <c r="F374" s="7">
        <v>8230452</v>
      </c>
      <c r="G374" s="7">
        <v>132285</v>
      </c>
      <c r="H374" s="7">
        <v>1378</v>
      </c>
      <c r="I374" s="5">
        <v>157471.13</v>
      </c>
      <c r="J374" s="8">
        <v>1717</v>
      </c>
      <c r="K374" s="8">
        <v>2941</v>
      </c>
    </row>
    <row r="375" spans="1:11" ht="14.5" x14ac:dyDescent="0.35">
      <c r="A375" s="3">
        <v>44723</v>
      </c>
      <c r="B375" s="4">
        <v>2022</v>
      </c>
      <c r="C375" s="4" t="s">
        <v>13</v>
      </c>
      <c r="D375" s="4" t="s">
        <v>14</v>
      </c>
      <c r="E375" s="5">
        <v>29231.45</v>
      </c>
      <c r="F375" s="7">
        <v>2066585</v>
      </c>
      <c r="G375" s="7">
        <v>75383</v>
      </c>
      <c r="H375" s="7">
        <v>2567</v>
      </c>
      <c r="I375" s="5">
        <v>285651.11</v>
      </c>
      <c r="J375" s="8">
        <v>1193</v>
      </c>
      <c r="K375" s="8">
        <v>2024</v>
      </c>
    </row>
    <row r="376" spans="1:11" ht="14.5" x14ac:dyDescent="0.35">
      <c r="A376" s="3">
        <v>44730</v>
      </c>
      <c r="B376" s="4">
        <v>2022</v>
      </c>
      <c r="C376" s="4" t="s">
        <v>13</v>
      </c>
      <c r="D376" s="4" t="s">
        <v>16</v>
      </c>
      <c r="E376" s="5">
        <v>88610.49</v>
      </c>
      <c r="F376" s="7">
        <v>19380275</v>
      </c>
      <c r="G376" s="7">
        <v>35664</v>
      </c>
      <c r="H376" s="4">
        <v>409</v>
      </c>
      <c r="I376" s="5">
        <v>49554.04</v>
      </c>
      <c r="J376" s="8">
        <v>1721</v>
      </c>
      <c r="K376" s="8">
        <v>2948</v>
      </c>
    </row>
    <row r="377" spans="1:11" ht="14.5" x14ac:dyDescent="0.35">
      <c r="A377" s="3">
        <v>44730</v>
      </c>
      <c r="B377" s="4">
        <v>2022</v>
      </c>
      <c r="C377" s="4" t="s">
        <v>13</v>
      </c>
      <c r="D377" s="4" t="s">
        <v>14</v>
      </c>
      <c r="E377" s="5">
        <v>30893.05</v>
      </c>
      <c r="F377" s="7">
        <v>3385571</v>
      </c>
      <c r="G377" s="7">
        <v>148556</v>
      </c>
      <c r="H377" s="7">
        <v>4000</v>
      </c>
      <c r="I377" s="5">
        <v>428144.53</v>
      </c>
      <c r="J377" s="8">
        <v>1233</v>
      </c>
      <c r="K377" s="8">
        <v>2094</v>
      </c>
    </row>
    <row r="378" spans="1:11" ht="14.5" x14ac:dyDescent="0.35">
      <c r="A378" s="3">
        <v>44737</v>
      </c>
      <c r="B378" s="4">
        <v>2022</v>
      </c>
      <c r="C378" s="4" t="s">
        <v>13</v>
      </c>
      <c r="D378" s="4" t="s">
        <v>16</v>
      </c>
      <c r="E378" s="5">
        <v>91444.49</v>
      </c>
      <c r="F378" s="7">
        <v>5762182</v>
      </c>
      <c r="G378" s="7">
        <v>169342</v>
      </c>
      <c r="H378" s="7">
        <v>2398</v>
      </c>
      <c r="I378" s="5">
        <v>293608.87</v>
      </c>
      <c r="J378" s="8">
        <v>1741</v>
      </c>
      <c r="K378" s="8">
        <v>2983</v>
      </c>
    </row>
    <row r="379" spans="1:11" ht="14.5" x14ac:dyDescent="0.35">
      <c r="A379" s="3">
        <v>44737</v>
      </c>
      <c r="B379" s="4">
        <v>2022</v>
      </c>
      <c r="C379" s="4" t="s">
        <v>13</v>
      </c>
      <c r="D379" s="4" t="s">
        <v>14</v>
      </c>
      <c r="E379" s="5">
        <v>31376.06</v>
      </c>
      <c r="F379" s="7">
        <v>2837892</v>
      </c>
      <c r="G379" s="7">
        <v>93211</v>
      </c>
      <c r="H379" s="7">
        <v>3726</v>
      </c>
      <c r="I379" s="5">
        <v>396122.88</v>
      </c>
      <c r="J379" s="8">
        <v>1245</v>
      </c>
      <c r="K379" s="8">
        <v>2115</v>
      </c>
    </row>
    <row r="380" spans="1:11" ht="14.5" x14ac:dyDescent="0.35">
      <c r="A380" s="3">
        <v>44744</v>
      </c>
      <c r="B380" s="4">
        <v>2022</v>
      </c>
      <c r="C380" s="4" t="s">
        <v>13</v>
      </c>
      <c r="D380" s="4" t="s">
        <v>16</v>
      </c>
      <c r="E380" s="5">
        <v>91486.33</v>
      </c>
      <c r="F380" s="7">
        <v>9419208</v>
      </c>
      <c r="G380" s="7">
        <v>269275</v>
      </c>
      <c r="H380" s="7">
        <v>5165</v>
      </c>
      <c r="I380" s="5">
        <v>491752.89</v>
      </c>
      <c r="J380" s="8">
        <v>1745</v>
      </c>
      <c r="K380" s="8">
        <v>2990</v>
      </c>
    </row>
    <row r="381" spans="1:11" ht="14.5" x14ac:dyDescent="0.35">
      <c r="A381" s="3">
        <v>44744</v>
      </c>
      <c r="B381" s="4">
        <v>2022</v>
      </c>
      <c r="C381" s="4" t="s">
        <v>13</v>
      </c>
      <c r="D381" s="4" t="s">
        <v>14</v>
      </c>
      <c r="E381" s="5">
        <v>33222.81</v>
      </c>
      <c r="F381" s="7">
        <v>3601841</v>
      </c>
      <c r="G381" s="7">
        <v>157048</v>
      </c>
      <c r="H381" s="7">
        <v>4338</v>
      </c>
      <c r="I381" s="5">
        <v>417254.57</v>
      </c>
      <c r="J381" s="8">
        <v>1285</v>
      </c>
      <c r="K381" s="8">
        <v>2185</v>
      </c>
    </row>
    <row r="382" spans="1:11" ht="14.5" x14ac:dyDescent="0.35">
      <c r="A382" s="3">
        <v>44751</v>
      </c>
      <c r="B382" s="4">
        <v>2022</v>
      </c>
      <c r="C382" s="4" t="s">
        <v>13</v>
      </c>
      <c r="D382" s="4" t="s">
        <v>16</v>
      </c>
      <c r="E382" s="5">
        <v>91648.13</v>
      </c>
      <c r="F382" s="7">
        <v>18012778</v>
      </c>
      <c r="G382" s="7">
        <v>32666</v>
      </c>
      <c r="H382" s="4">
        <v>640</v>
      </c>
      <c r="I382" s="5">
        <v>65491.6</v>
      </c>
      <c r="J382" s="8">
        <v>1749</v>
      </c>
      <c r="K382" s="8">
        <v>2997</v>
      </c>
    </row>
    <row r="383" spans="1:11" ht="14.5" x14ac:dyDescent="0.35">
      <c r="A383" s="3">
        <v>44751</v>
      </c>
      <c r="B383" s="4">
        <v>2022</v>
      </c>
      <c r="C383" s="4" t="s">
        <v>13</v>
      </c>
      <c r="D383" s="4" t="s">
        <v>14</v>
      </c>
      <c r="E383" s="5">
        <v>35964.089999999997</v>
      </c>
      <c r="F383" s="7">
        <v>2047403</v>
      </c>
      <c r="G383" s="7">
        <v>75027</v>
      </c>
      <c r="H383" s="7">
        <v>4358</v>
      </c>
      <c r="I383" s="5">
        <v>488704.61</v>
      </c>
      <c r="J383" s="8">
        <v>1325</v>
      </c>
      <c r="K383" s="8">
        <v>2255</v>
      </c>
    </row>
    <row r="384" spans="1:11" ht="14.5" x14ac:dyDescent="0.35">
      <c r="A384" s="3">
        <v>44758</v>
      </c>
      <c r="B384" s="4">
        <v>2022</v>
      </c>
      <c r="C384" s="4" t="s">
        <v>13</v>
      </c>
      <c r="D384" s="4" t="s">
        <v>16</v>
      </c>
      <c r="E384" s="5">
        <v>95008.18</v>
      </c>
      <c r="F384" s="7">
        <v>6676883</v>
      </c>
      <c r="G384" s="7">
        <v>110672</v>
      </c>
      <c r="H384" s="7">
        <v>1019</v>
      </c>
      <c r="I384" s="5">
        <v>107773.3</v>
      </c>
      <c r="J384" s="8">
        <v>1761</v>
      </c>
      <c r="K384" s="8">
        <v>3018</v>
      </c>
    </row>
    <row r="385" spans="1:11" ht="14.5" x14ac:dyDescent="0.35">
      <c r="A385" s="3">
        <v>44758</v>
      </c>
      <c r="B385" s="4">
        <v>2022</v>
      </c>
      <c r="C385" s="4" t="s">
        <v>13</v>
      </c>
      <c r="D385" s="4" t="s">
        <v>14</v>
      </c>
      <c r="E385" s="5">
        <v>38210.720000000001</v>
      </c>
      <c r="F385" s="7">
        <v>2636938</v>
      </c>
      <c r="G385" s="7">
        <v>85874</v>
      </c>
      <c r="H385" s="7">
        <v>1794</v>
      </c>
      <c r="I385" s="5">
        <v>209196.01</v>
      </c>
      <c r="J385" s="8">
        <v>1353</v>
      </c>
      <c r="K385" s="8">
        <v>2304</v>
      </c>
    </row>
    <row r="386" spans="1:11" ht="14.5" x14ac:dyDescent="0.35">
      <c r="A386" s="3">
        <v>44765</v>
      </c>
      <c r="B386" s="4">
        <v>2022</v>
      </c>
      <c r="C386" s="4" t="s">
        <v>13</v>
      </c>
      <c r="D386" s="4" t="s">
        <v>16</v>
      </c>
      <c r="E386" s="5">
        <v>96571.55</v>
      </c>
      <c r="F386" s="7">
        <v>7254774</v>
      </c>
      <c r="G386" s="7">
        <v>264519</v>
      </c>
      <c r="H386" s="7">
        <v>3390</v>
      </c>
      <c r="I386" s="5">
        <v>300860.84000000003</v>
      </c>
      <c r="J386" s="8">
        <v>1769</v>
      </c>
      <c r="K386" s="8">
        <v>3032</v>
      </c>
    </row>
    <row r="387" spans="1:11" ht="14.5" x14ac:dyDescent="0.35">
      <c r="A387" s="3">
        <v>44765</v>
      </c>
      <c r="B387" s="4">
        <v>2022</v>
      </c>
      <c r="C387" s="4" t="s">
        <v>13</v>
      </c>
      <c r="D387" s="4" t="s">
        <v>14</v>
      </c>
      <c r="E387" s="5">
        <v>40192.79</v>
      </c>
      <c r="F387" s="7">
        <v>2926583</v>
      </c>
      <c r="G387" s="7">
        <v>105277</v>
      </c>
      <c r="H387" s="7">
        <v>2843</v>
      </c>
      <c r="I387" s="5">
        <v>294998.8</v>
      </c>
      <c r="J387" s="8">
        <v>1381</v>
      </c>
      <c r="K387" s="8">
        <v>2353</v>
      </c>
    </row>
    <row r="388" spans="1:11" ht="14.5" x14ac:dyDescent="0.35">
      <c r="A388" s="3">
        <v>44772</v>
      </c>
      <c r="B388" s="4">
        <v>2022</v>
      </c>
      <c r="C388" s="4" t="s">
        <v>13</v>
      </c>
      <c r="D388" s="4" t="s">
        <v>16</v>
      </c>
      <c r="E388" s="5">
        <v>98305.1</v>
      </c>
      <c r="F388" s="7">
        <v>4234114</v>
      </c>
      <c r="G388" s="7">
        <v>180697</v>
      </c>
      <c r="H388" s="7">
        <v>2955</v>
      </c>
      <c r="I388" s="5">
        <v>281196.81</v>
      </c>
      <c r="J388" s="8">
        <v>1777</v>
      </c>
      <c r="K388" s="8">
        <v>3046</v>
      </c>
    </row>
    <row r="389" spans="1:11" ht="14.5" x14ac:dyDescent="0.35">
      <c r="A389" s="3">
        <v>44772</v>
      </c>
      <c r="B389" s="4">
        <v>2022</v>
      </c>
      <c r="C389" s="4" t="s">
        <v>13</v>
      </c>
      <c r="D389" s="4" t="s">
        <v>14</v>
      </c>
      <c r="E389" s="5">
        <v>40279.230000000003</v>
      </c>
      <c r="F389" s="7">
        <v>3410244</v>
      </c>
      <c r="G389" s="7">
        <v>116049</v>
      </c>
      <c r="H389" s="7">
        <v>4589</v>
      </c>
      <c r="I389" s="5">
        <v>504586.55</v>
      </c>
      <c r="J389" s="8">
        <v>1385</v>
      </c>
      <c r="K389" s="8">
        <v>2360</v>
      </c>
    </row>
    <row r="390" spans="1:11" ht="14.5" x14ac:dyDescent="0.35">
      <c r="A390" s="3">
        <v>44779</v>
      </c>
      <c r="B390" s="4">
        <v>2022</v>
      </c>
      <c r="C390" s="4" t="s">
        <v>13</v>
      </c>
      <c r="D390" s="4" t="s">
        <v>16</v>
      </c>
      <c r="E390" s="5">
        <v>105554.38</v>
      </c>
      <c r="F390" s="7">
        <v>6006614</v>
      </c>
      <c r="G390" s="7">
        <v>193813</v>
      </c>
      <c r="H390" s="7">
        <v>3166</v>
      </c>
      <c r="I390" s="5">
        <v>377052.3</v>
      </c>
      <c r="J390" s="8">
        <v>1793</v>
      </c>
      <c r="K390" s="8">
        <v>3074</v>
      </c>
    </row>
    <row r="391" spans="1:11" ht="14.5" x14ac:dyDescent="0.35">
      <c r="A391" s="3">
        <v>44779</v>
      </c>
      <c r="B391" s="4">
        <v>2022</v>
      </c>
      <c r="C391" s="4" t="s">
        <v>13</v>
      </c>
      <c r="D391" s="4" t="s">
        <v>14</v>
      </c>
      <c r="E391" s="5">
        <v>43076.73</v>
      </c>
      <c r="F391" s="7">
        <v>3666408</v>
      </c>
      <c r="G391" s="7">
        <v>111639</v>
      </c>
      <c r="H391" s="7">
        <v>3009</v>
      </c>
      <c r="I391" s="5">
        <v>359259.91</v>
      </c>
      <c r="J391" s="8">
        <v>1425</v>
      </c>
      <c r="K391" s="8">
        <v>2430</v>
      </c>
    </row>
    <row r="392" spans="1:11" ht="14.5" x14ac:dyDescent="0.35">
      <c r="A392" s="3">
        <v>44786</v>
      </c>
      <c r="B392" s="4">
        <v>2022</v>
      </c>
      <c r="C392" s="4" t="s">
        <v>13</v>
      </c>
      <c r="D392" s="4" t="s">
        <v>14</v>
      </c>
      <c r="E392" s="5">
        <v>43157.3</v>
      </c>
      <c r="F392" s="7">
        <v>2529845</v>
      </c>
      <c r="G392" s="7">
        <v>108430</v>
      </c>
      <c r="H392" s="7">
        <v>6234</v>
      </c>
      <c r="I392" s="5">
        <v>746435.42</v>
      </c>
      <c r="J392" s="8">
        <v>1429</v>
      </c>
      <c r="K392" s="8">
        <v>2437</v>
      </c>
    </row>
    <row r="393" spans="1:11" ht="14.5" x14ac:dyDescent="0.35">
      <c r="A393" s="3">
        <v>44786</v>
      </c>
      <c r="B393" s="4">
        <v>2022</v>
      </c>
      <c r="C393" s="4" t="s">
        <v>13</v>
      </c>
      <c r="D393" s="4" t="s">
        <v>16</v>
      </c>
      <c r="E393" s="5">
        <v>107822</v>
      </c>
      <c r="F393" s="7">
        <v>10418171</v>
      </c>
      <c r="G393" s="7">
        <v>308753</v>
      </c>
      <c r="H393" s="7">
        <v>5830</v>
      </c>
      <c r="I393" s="5">
        <v>510927.8</v>
      </c>
      <c r="J393" s="8">
        <v>1797</v>
      </c>
      <c r="K393" s="8">
        <v>3081</v>
      </c>
    </row>
    <row r="394" spans="1:11" ht="14.5" x14ac:dyDescent="0.35">
      <c r="A394" s="3">
        <v>44793</v>
      </c>
      <c r="B394" s="4">
        <v>2022</v>
      </c>
      <c r="C394" s="4" t="s">
        <v>13</v>
      </c>
      <c r="D394" s="4" t="s">
        <v>17</v>
      </c>
      <c r="E394" s="5">
        <v>734.42</v>
      </c>
      <c r="F394" s="7">
        <v>50078</v>
      </c>
      <c r="G394" s="7">
        <v>2357</v>
      </c>
      <c r="H394" s="4">
        <v>122</v>
      </c>
      <c r="I394" s="5">
        <v>10261.379999999999</v>
      </c>
      <c r="J394" s="6">
        <v>129</v>
      </c>
      <c r="K394" s="6">
        <v>162</v>
      </c>
    </row>
    <row r="395" spans="1:11" ht="14.5" x14ac:dyDescent="0.35">
      <c r="A395" s="3">
        <v>44793</v>
      </c>
      <c r="B395" s="4">
        <v>2022</v>
      </c>
      <c r="C395" s="4" t="s">
        <v>13</v>
      </c>
      <c r="D395" s="4" t="s">
        <v>16</v>
      </c>
      <c r="E395" s="5">
        <v>109924.81</v>
      </c>
      <c r="F395" s="7">
        <v>6310524</v>
      </c>
      <c r="G395" s="7">
        <v>135809</v>
      </c>
      <c r="H395" s="7">
        <v>1231</v>
      </c>
      <c r="I395" s="5">
        <v>135567.97</v>
      </c>
      <c r="J395" s="8">
        <v>1805</v>
      </c>
      <c r="K395" s="8">
        <v>3095</v>
      </c>
    </row>
    <row r="396" spans="1:11" ht="14.5" x14ac:dyDescent="0.35">
      <c r="A396" s="3">
        <v>44793</v>
      </c>
      <c r="B396" s="4">
        <v>2022</v>
      </c>
      <c r="C396" s="4" t="s">
        <v>13</v>
      </c>
      <c r="D396" s="4" t="s">
        <v>14</v>
      </c>
      <c r="E396" s="5">
        <v>45546.53</v>
      </c>
      <c r="F396" s="7">
        <v>2990170</v>
      </c>
      <c r="G396" s="7">
        <v>166291</v>
      </c>
      <c r="H396" s="7">
        <v>3567</v>
      </c>
      <c r="I396" s="5">
        <v>482072.54</v>
      </c>
      <c r="J396" s="8">
        <v>1457</v>
      </c>
      <c r="K396" s="8">
        <v>2486</v>
      </c>
    </row>
    <row r="397" spans="1:11" ht="14.5" x14ac:dyDescent="0.35">
      <c r="A397" s="3">
        <v>44800</v>
      </c>
      <c r="B397" s="4">
        <v>2022</v>
      </c>
      <c r="C397" s="4" t="s">
        <v>13</v>
      </c>
      <c r="D397" s="4" t="s">
        <v>17</v>
      </c>
      <c r="E397" s="5">
        <v>740.1</v>
      </c>
      <c r="F397" s="7">
        <v>59887</v>
      </c>
      <c r="G397" s="7">
        <v>3827</v>
      </c>
      <c r="H397" s="4">
        <v>286</v>
      </c>
      <c r="I397" s="5">
        <v>36402.99</v>
      </c>
      <c r="J397" s="6">
        <v>133</v>
      </c>
      <c r="K397" s="6">
        <v>169</v>
      </c>
    </row>
    <row r="398" spans="1:11" ht="14.5" x14ac:dyDescent="0.35">
      <c r="A398" s="3">
        <v>44800</v>
      </c>
      <c r="B398" s="4">
        <v>2022</v>
      </c>
      <c r="C398" s="4" t="s">
        <v>13</v>
      </c>
      <c r="D398" s="4" t="s">
        <v>16</v>
      </c>
      <c r="E398" s="5">
        <v>114021.9</v>
      </c>
      <c r="F398" s="7">
        <v>5162181</v>
      </c>
      <c r="G398" s="7">
        <v>166491</v>
      </c>
      <c r="H398" s="7">
        <v>1818</v>
      </c>
      <c r="I398" s="5">
        <v>214003.68</v>
      </c>
      <c r="J398" s="8">
        <v>1821</v>
      </c>
      <c r="K398" s="8">
        <v>3123</v>
      </c>
    </row>
    <row r="399" spans="1:11" ht="14.5" x14ac:dyDescent="0.35">
      <c r="A399" s="3">
        <v>44800</v>
      </c>
      <c r="B399" s="4">
        <v>2022</v>
      </c>
      <c r="C399" s="4" t="s">
        <v>13</v>
      </c>
      <c r="D399" s="4" t="s">
        <v>14</v>
      </c>
      <c r="E399" s="5">
        <v>49401.18</v>
      </c>
      <c r="F399" s="7">
        <v>5250333</v>
      </c>
      <c r="G399" s="7">
        <v>216758</v>
      </c>
      <c r="H399" s="7">
        <v>7644</v>
      </c>
      <c r="I399" s="5">
        <v>752080.7</v>
      </c>
      <c r="J399" s="8">
        <v>1489</v>
      </c>
      <c r="K399" s="8">
        <v>2542</v>
      </c>
    </row>
    <row r="400" spans="1:11" ht="14.5" x14ac:dyDescent="0.35">
      <c r="A400" s="3">
        <v>44807</v>
      </c>
      <c r="B400" s="4">
        <v>2022</v>
      </c>
      <c r="C400" s="4" t="s">
        <v>13</v>
      </c>
      <c r="D400" s="4" t="s">
        <v>17</v>
      </c>
      <c r="E400" s="5">
        <v>2275.89</v>
      </c>
      <c r="F400" s="7">
        <v>143233</v>
      </c>
      <c r="G400" s="7">
        <v>1550</v>
      </c>
      <c r="H400" s="4">
        <v>536</v>
      </c>
      <c r="I400" s="5">
        <v>75047.47</v>
      </c>
      <c r="J400" s="6">
        <v>369</v>
      </c>
      <c r="K400" s="6">
        <v>582</v>
      </c>
    </row>
    <row r="401" spans="1:11" ht="14.5" x14ac:dyDescent="0.35">
      <c r="A401" s="3">
        <v>44807</v>
      </c>
      <c r="B401" s="4">
        <v>2022</v>
      </c>
      <c r="C401" s="4" t="s">
        <v>13</v>
      </c>
      <c r="D401" s="4" t="s">
        <v>16</v>
      </c>
      <c r="E401" s="5">
        <v>119573.35</v>
      </c>
      <c r="F401" s="7">
        <v>7821865</v>
      </c>
      <c r="G401" s="7">
        <v>246406</v>
      </c>
      <c r="H401" s="7">
        <v>3885</v>
      </c>
      <c r="I401" s="5">
        <v>418038.52</v>
      </c>
      <c r="J401" s="8">
        <v>1837</v>
      </c>
      <c r="K401" s="8">
        <v>3151</v>
      </c>
    </row>
    <row r="402" spans="1:11" ht="14.5" x14ac:dyDescent="0.35">
      <c r="A402" s="3">
        <v>44807</v>
      </c>
      <c r="B402" s="4">
        <v>2022</v>
      </c>
      <c r="C402" s="4" t="s">
        <v>13</v>
      </c>
      <c r="D402" s="4" t="s">
        <v>14</v>
      </c>
      <c r="E402" s="5">
        <v>52404.88</v>
      </c>
      <c r="F402" s="7">
        <v>7046463</v>
      </c>
      <c r="G402" s="7">
        <v>260159</v>
      </c>
      <c r="H402" s="7">
        <v>11712</v>
      </c>
      <c r="I402" s="5">
        <v>1015991.7</v>
      </c>
      <c r="J402" s="8">
        <v>1505</v>
      </c>
      <c r="K402" s="8">
        <v>2570</v>
      </c>
    </row>
    <row r="403" spans="1:11" ht="14.5" x14ac:dyDescent="0.35">
      <c r="A403" s="3">
        <v>44814</v>
      </c>
      <c r="B403" s="4">
        <v>2022</v>
      </c>
      <c r="C403" s="4" t="s">
        <v>13</v>
      </c>
      <c r="D403" s="4" t="s">
        <v>17</v>
      </c>
      <c r="E403" s="5">
        <v>13724.45</v>
      </c>
      <c r="F403" s="7">
        <v>867822</v>
      </c>
      <c r="G403" s="7">
        <v>7822</v>
      </c>
      <c r="H403" s="7">
        <v>7464</v>
      </c>
      <c r="I403" s="5">
        <v>993607.2</v>
      </c>
      <c r="J403" s="6">
        <v>893</v>
      </c>
      <c r="K403" s="8">
        <v>1499</v>
      </c>
    </row>
    <row r="404" spans="1:11" ht="14.5" x14ac:dyDescent="0.35">
      <c r="A404" s="3">
        <v>44814</v>
      </c>
      <c r="B404" s="4">
        <v>2022</v>
      </c>
      <c r="C404" s="4" t="s">
        <v>13</v>
      </c>
      <c r="D404" s="4" t="s">
        <v>14</v>
      </c>
      <c r="E404" s="5">
        <v>55834.17</v>
      </c>
      <c r="F404" s="7">
        <v>3948922</v>
      </c>
      <c r="G404" s="7">
        <v>130304</v>
      </c>
      <c r="H404" s="7">
        <v>3162</v>
      </c>
      <c r="I404" s="5">
        <v>419929.75</v>
      </c>
      <c r="J404" s="8">
        <v>1549</v>
      </c>
      <c r="K404" s="8">
        <v>2647</v>
      </c>
    </row>
    <row r="405" spans="1:11" ht="14.5" x14ac:dyDescent="0.35">
      <c r="A405" s="3">
        <v>44814</v>
      </c>
      <c r="B405" s="4">
        <v>2022</v>
      </c>
      <c r="C405" s="4" t="s">
        <v>13</v>
      </c>
      <c r="D405" s="4" t="s">
        <v>16</v>
      </c>
      <c r="E405" s="5">
        <v>121228.65</v>
      </c>
      <c r="F405" s="7">
        <v>8744073</v>
      </c>
      <c r="G405" s="7">
        <v>313022</v>
      </c>
      <c r="H405" s="7">
        <v>4992</v>
      </c>
      <c r="I405" s="5">
        <v>542894.12</v>
      </c>
      <c r="J405" s="8">
        <v>1857</v>
      </c>
      <c r="K405" s="8">
        <v>3186</v>
      </c>
    </row>
    <row r="406" spans="1:11" ht="14.5" x14ac:dyDescent="0.35">
      <c r="A406" s="3">
        <v>44821</v>
      </c>
      <c r="B406" s="4">
        <v>2022</v>
      </c>
      <c r="C406" s="4" t="s">
        <v>13</v>
      </c>
      <c r="D406" s="4" t="s">
        <v>17</v>
      </c>
      <c r="E406" s="5">
        <v>20390.919999999998</v>
      </c>
      <c r="F406" s="7">
        <v>911230</v>
      </c>
      <c r="G406" s="7">
        <v>35332</v>
      </c>
      <c r="H406" s="7">
        <v>1981</v>
      </c>
      <c r="I406" s="5">
        <v>210606.95</v>
      </c>
      <c r="J406" s="8">
        <v>1025</v>
      </c>
      <c r="K406" s="8">
        <v>1730</v>
      </c>
    </row>
    <row r="407" spans="1:11" ht="14.5" x14ac:dyDescent="0.35">
      <c r="A407" s="3">
        <v>44821</v>
      </c>
      <c r="B407" s="4">
        <v>2022</v>
      </c>
      <c r="C407" s="4" t="s">
        <v>13</v>
      </c>
      <c r="D407" s="4" t="s">
        <v>16</v>
      </c>
      <c r="E407" s="5">
        <v>136156.01999999999</v>
      </c>
      <c r="F407" s="7">
        <v>12459105</v>
      </c>
      <c r="G407" s="7">
        <v>294813</v>
      </c>
      <c r="H407" s="7">
        <v>4192</v>
      </c>
      <c r="I407" s="5">
        <v>450068.38</v>
      </c>
      <c r="J407" s="8">
        <v>1905</v>
      </c>
      <c r="K407" s="8">
        <v>3270</v>
      </c>
    </row>
    <row r="408" spans="1:11" ht="14.5" x14ac:dyDescent="0.35">
      <c r="A408" s="3">
        <v>44821</v>
      </c>
      <c r="B408" s="4">
        <v>2022</v>
      </c>
      <c r="C408" s="4" t="s">
        <v>13</v>
      </c>
      <c r="D408" s="4" t="s">
        <v>14</v>
      </c>
      <c r="E408" s="5">
        <v>56399.54</v>
      </c>
      <c r="F408" s="7">
        <v>3601535</v>
      </c>
      <c r="G408" s="7">
        <v>144096</v>
      </c>
      <c r="H408" s="7">
        <v>7027</v>
      </c>
      <c r="I408" s="5">
        <v>692960.77</v>
      </c>
      <c r="J408" s="8">
        <v>1561</v>
      </c>
      <c r="K408" s="8">
        <v>2668</v>
      </c>
    </row>
    <row r="409" spans="1:11" ht="14.5" x14ac:dyDescent="0.35">
      <c r="A409" s="3">
        <v>44828</v>
      </c>
      <c r="B409" s="4">
        <v>2022</v>
      </c>
      <c r="C409" s="4" t="s">
        <v>13</v>
      </c>
      <c r="D409" s="4" t="s">
        <v>17</v>
      </c>
      <c r="E409" s="5">
        <v>23655.040000000001</v>
      </c>
      <c r="F409" s="7">
        <v>849933</v>
      </c>
      <c r="G409" s="7">
        <v>34338</v>
      </c>
      <c r="H409" s="7">
        <v>1961</v>
      </c>
      <c r="I409" s="5">
        <v>205804.48</v>
      </c>
      <c r="J409" s="8">
        <v>1077</v>
      </c>
      <c r="K409" s="8">
        <v>1821</v>
      </c>
    </row>
    <row r="410" spans="1:11" ht="14.5" x14ac:dyDescent="0.35">
      <c r="A410" s="3">
        <v>44828</v>
      </c>
      <c r="B410" s="4">
        <v>2022</v>
      </c>
      <c r="C410" s="4" t="s">
        <v>13</v>
      </c>
      <c r="D410" s="4" t="s">
        <v>14</v>
      </c>
      <c r="E410" s="5">
        <v>57745.53</v>
      </c>
      <c r="F410" s="7">
        <v>3063928</v>
      </c>
      <c r="G410" s="7">
        <v>114863</v>
      </c>
      <c r="H410" s="7">
        <v>7424</v>
      </c>
      <c r="I410" s="5">
        <v>855385.03</v>
      </c>
      <c r="J410" s="8">
        <v>1577</v>
      </c>
      <c r="K410" s="8">
        <v>2696</v>
      </c>
    </row>
    <row r="411" spans="1:11" ht="14.5" x14ac:dyDescent="0.35">
      <c r="A411" s="3">
        <v>44828</v>
      </c>
      <c r="B411" s="4">
        <v>2022</v>
      </c>
      <c r="C411" s="4" t="s">
        <v>13</v>
      </c>
      <c r="D411" s="4" t="s">
        <v>16</v>
      </c>
      <c r="E411" s="5">
        <v>142040.54</v>
      </c>
      <c r="F411" s="7">
        <v>7330918</v>
      </c>
      <c r="G411" s="7">
        <v>241688</v>
      </c>
      <c r="H411" s="7">
        <v>4483</v>
      </c>
      <c r="I411" s="5">
        <v>487980.37</v>
      </c>
      <c r="J411" s="8">
        <v>1913</v>
      </c>
      <c r="K411" s="8">
        <v>3284</v>
      </c>
    </row>
    <row r="412" spans="1:11" ht="14.5" x14ac:dyDescent="0.35">
      <c r="A412" s="3">
        <v>44835</v>
      </c>
      <c r="B412" s="4">
        <v>2022</v>
      </c>
      <c r="C412" s="4" t="s">
        <v>13</v>
      </c>
      <c r="D412" s="4" t="s">
        <v>17</v>
      </c>
      <c r="E412" s="5">
        <v>25440.62</v>
      </c>
      <c r="F412" s="7">
        <v>1689270</v>
      </c>
      <c r="G412" s="7">
        <v>18602</v>
      </c>
      <c r="H412" s="7">
        <v>11994</v>
      </c>
      <c r="I412" s="5">
        <v>1662253.22</v>
      </c>
      <c r="J412" s="8">
        <v>1133</v>
      </c>
      <c r="K412" s="8">
        <v>1919</v>
      </c>
    </row>
    <row r="413" spans="1:11" ht="14.5" x14ac:dyDescent="0.35">
      <c r="A413" s="3">
        <v>44835</v>
      </c>
      <c r="B413" s="4">
        <v>2022</v>
      </c>
      <c r="C413" s="4" t="s">
        <v>13</v>
      </c>
      <c r="D413" s="4" t="s">
        <v>16</v>
      </c>
      <c r="E413" s="5">
        <v>149877.26999999999</v>
      </c>
      <c r="F413" s="7">
        <v>7696435</v>
      </c>
      <c r="G413" s="7">
        <v>164363</v>
      </c>
      <c r="H413" s="7">
        <v>1345</v>
      </c>
      <c r="I413" s="5">
        <v>157020.54999999999</v>
      </c>
      <c r="J413" s="8">
        <v>1929</v>
      </c>
      <c r="K413" s="8">
        <v>3312</v>
      </c>
    </row>
    <row r="414" spans="1:11" ht="14.5" x14ac:dyDescent="0.35">
      <c r="A414" s="3">
        <v>44835</v>
      </c>
      <c r="B414" s="4">
        <v>2022</v>
      </c>
      <c r="C414" s="4" t="s">
        <v>13</v>
      </c>
      <c r="D414" s="4" t="s">
        <v>14</v>
      </c>
      <c r="E414" s="5">
        <v>59620.959999999999</v>
      </c>
      <c r="F414" s="7">
        <v>6867815</v>
      </c>
      <c r="G414" s="7">
        <v>294740</v>
      </c>
      <c r="H414" s="7">
        <v>11736</v>
      </c>
      <c r="I414" s="5">
        <v>1258561.19</v>
      </c>
      <c r="J414" s="8">
        <v>1589</v>
      </c>
      <c r="K414" s="8">
        <v>2717</v>
      </c>
    </row>
    <row r="415" spans="1:11" ht="14.5" x14ac:dyDescent="0.35">
      <c r="A415" s="3">
        <v>44842</v>
      </c>
      <c r="B415" s="4">
        <v>2022</v>
      </c>
      <c r="C415" s="4" t="s">
        <v>13</v>
      </c>
      <c r="D415" s="4" t="s">
        <v>17</v>
      </c>
      <c r="E415" s="5">
        <v>27216.44</v>
      </c>
      <c r="F415" s="7">
        <v>985857</v>
      </c>
      <c r="G415" s="7">
        <v>36495</v>
      </c>
      <c r="H415" s="7">
        <v>2103</v>
      </c>
      <c r="I415" s="5">
        <v>212248.74</v>
      </c>
      <c r="J415" s="8">
        <v>1149</v>
      </c>
      <c r="K415" s="8">
        <v>1947</v>
      </c>
    </row>
    <row r="416" spans="1:11" ht="14.5" x14ac:dyDescent="0.35">
      <c r="A416" s="3">
        <v>44842</v>
      </c>
      <c r="B416" s="4">
        <v>2022</v>
      </c>
      <c r="C416" s="4" t="s">
        <v>13</v>
      </c>
      <c r="D416" s="4" t="s">
        <v>16</v>
      </c>
      <c r="E416" s="5">
        <v>162297.93</v>
      </c>
      <c r="F416" s="7">
        <v>10964128</v>
      </c>
      <c r="G416" s="7">
        <v>220964</v>
      </c>
      <c r="H416" s="7">
        <v>2537</v>
      </c>
      <c r="I416" s="5">
        <v>322714.84999999998</v>
      </c>
      <c r="J416" s="8">
        <v>1953</v>
      </c>
      <c r="K416" s="8">
        <v>3354</v>
      </c>
    </row>
    <row r="417" spans="1:11" ht="14.5" x14ac:dyDescent="0.35">
      <c r="A417" s="3">
        <v>44842</v>
      </c>
      <c r="B417" s="4">
        <v>2022</v>
      </c>
      <c r="C417" s="4" t="s">
        <v>13</v>
      </c>
      <c r="D417" s="4" t="s">
        <v>14</v>
      </c>
      <c r="E417" s="5">
        <v>61318.81</v>
      </c>
      <c r="F417" s="7">
        <v>4912310</v>
      </c>
      <c r="G417" s="7">
        <v>164313</v>
      </c>
      <c r="H417" s="7">
        <v>5563</v>
      </c>
      <c r="I417" s="5">
        <v>623460.06999999995</v>
      </c>
      <c r="J417" s="8">
        <v>1597</v>
      </c>
      <c r="K417" s="8">
        <v>2731</v>
      </c>
    </row>
    <row r="418" spans="1:11" ht="14.5" x14ac:dyDescent="0.35">
      <c r="A418" s="3">
        <v>44849</v>
      </c>
      <c r="B418" s="4">
        <v>2022</v>
      </c>
      <c r="C418" s="4" t="s">
        <v>13</v>
      </c>
      <c r="D418" s="4" t="s">
        <v>18</v>
      </c>
      <c r="E418" s="5">
        <v>330.77</v>
      </c>
      <c r="F418" s="7">
        <v>33307</v>
      </c>
      <c r="G418" s="7">
        <v>1432</v>
      </c>
      <c r="H418" s="4">
        <v>84</v>
      </c>
      <c r="I418" s="5">
        <v>7527.06</v>
      </c>
      <c r="J418" s="6">
        <v>81</v>
      </c>
      <c r="K418" s="6">
        <v>88</v>
      </c>
    </row>
    <row r="419" spans="1:11" ht="14.5" x14ac:dyDescent="0.35">
      <c r="A419" s="3">
        <v>44849</v>
      </c>
      <c r="B419" s="4">
        <v>2022</v>
      </c>
      <c r="C419" s="4" t="s">
        <v>13</v>
      </c>
      <c r="D419" s="4" t="s">
        <v>17</v>
      </c>
      <c r="E419" s="5">
        <v>34869.57</v>
      </c>
      <c r="F419" s="7">
        <v>2870045</v>
      </c>
      <c r="G419" s="7">
        <v>156410</v>
      </c>
      <c r="H419" s="7">
        <v>5499</v>
      </c>
      <c r="I419" s="5">
        <v>39785.58</v>
      </c>
      <c r="J419" s="8">
        <v>1305</v>
      </c>
      <c r="K419" s="8">
        <v>2220</v>
      </c>
    </row>
    <row r="420" spans="1:11" ht="14.5" x14ac:dyDescent="0.35">
      <c r="A420" s="3">
        <v>44849</v>
      </c>
      <c r="B420" s="4">
        <v>2022</v>
      </c>
      <c r="C420" s="4" t="s">
        <v>11</v>
      </c>
      <c r="D420" s="4" t="s">
        <v>12</v>
      </c>
      <c r="E420" s="5">
        <v>55.8</v>
      </c>
      <c r="F420" s="4">
        <v>806</v>
      </c>
      <c r="G420" s="4">
        <v>3.1</v>
      </c>
      <c r="H420" s="4">
        <v>31</v>
      </c>
      <c r="I420" s="5">
        <v>578.41999999999996</v>
      </c>
      <c r="J420" s="6">
        <v>59</v>
      </c>
      <c r="K420" s="6">
        <v>71</v>
      </c>
    </row>
    <row r="421" spans="1:11" ht="14.5" x14ac:dyDescent="0.35">
      <c r="A421" s="3">
        <v>44849</v>
      </c>
      <c r="B421" s="4">
        <v>2022</v>
      </c>
      <c r="C421" s="4" t="s">
        <v>11</v>
      </c>
      <c r="D421" s="4" t="s">
        <v>15</v>
      </c>
      <c r="E421" s="5">
        <v>883.01</v>
      </c>
      <c r="F421" s="7">
        <v>58403</v>
      </c>
      <c r="G421" s="9">
        <v>1015.91</v>
      </c>
      <c r="H421" s="7">
        <v>11726</v>
      </c>
      <c r="I421" s="5">
        <v>119995.7</v>
      </c>
      <c r="J421" s="6">
        <v>445</v>
      </c>
      <c r="K421" s="6">
        <v>457</v>
      </c>
    </row>
    <row r="422" spans="1:11" ht="14.5" x14ac:dyDescent="0.35">
      <c r="A422" s="3">
        <v>44849</v>
      </c>
      <c r="B422" s="4">
        <v>2022</v>
      </c>
      <c r="C422" s="4" t="s">
        <v>13</v>
      </c>
      <c r="D422" s="4" t="s">
        <v>14</v>
      </c>
      <c r="E422" s="5">
        <v>65214.99</v>
      </c>
      <c r="F422" s="7">
        <v>4081829</v>
      </c>
      <c r="G422" s="7">
        <v>71164</v>
      </c>
      <c r="H422" s="7">
        <v>1685</v>
      </c>
      <c r="I422" s="5">
        <v>203562.61</v>
      </c>
      <c r="J422" s="8">
        <v>1617</v>
      </c>
      <c r="K422" s="8">
        <v>2766</v>
      </c>
    </row>
    <row r="423" spans="1:11" ht="14.5" x14ac:dyDescent="0.35">
      <c r="A423" s="3">
        <v>44849</v>
      </c>
      <c r="B423" s="4">
        <v>2022</v>
      </c>
      <c r="C423" s="4" t="s">
        <v>13</v>
      </c>
      <c r="D423" s="4" t="s">
        <v>16</v>
      </c>
      <c r="E423" s="5">
        <v>167365.84</v>
      </c>
      <c r="F423" s="7">
        <v>10334852</v>
      </c>
      <c r="G423" s="7">
        <v>369991</v>
      </c>
      <c r="H423" s="7">
        <v>13875</v>
      </c>
      <c r="I423" s="5">
        <v>1290723.94</v>
      </c>
      <c r="J423" s="8">
        <v>1969</v>
      </c>
      <c r="K423" s="8">
        <v>3382</v>
      </c>
    </row>
    <row r="424" spans="1:11" ht="14.5" x14ac:dyDescent="0.35">
      <c r="A424" s="3">
        <v>44856</v>
      </c>
      <c r="B424" s="4">
        <v>2022</v>
      </c>
      <c r="C424" s="4" t="s">
        <v>13</v>
      </c>
      <c r="D424" s="4" t="s">
        <v>17</v>
      </c>
      <c r="E424" s="5">
        <v>37265.449999999997</v>
      </c>
      <c r="F424" s="7">
        <v>2163320</v>
      </c>
      <c r="G424" s="7">
        <v>107220</v>
      </c>
      <c r="H424" s="7">
        <v>3348</v>
      </c>
      <c r="I424" s="5">
        <v>26789.82</v>
      </c>
      <c r="J424" s="8">
        <v>1341</v>
      </c>
      <c r="K424" s="8">
        <v>2283</v>
      </c>
    </row>
    <row r="425" spans="1:11" ht="14.5" x14ac:dyDescent="0.35">
      <c r="A425" s="3">
        <v>44856</v>
      </c>
      <c r="B425" s="4">
        <v>2022</v>
      </c>
      <c r="C425" s="4" t="s">
        <v>11</v>
      </c>
      <c r="D425" s="4" t="s">
        <v>12</v>
      </c>
      <c r="E425" s="5">
        <v>77.34</v>
      </c>
      <c r="F425" s="4">
        <v>797</v>
      </c>
      <c r="G425" s="4">
        <v>4.1399999999999997</v>
      </c>
      <c r="H425" s="4">
        <v>47</v>
      </c>
      <c r="I425" s="5">
        <v>342.42</v>
      </c>
      <c r="J425" s="6">
        <v>76</v>
      </c>
      <c r="K425" s="6">
        <v>88</v>
      </c>
    </row>
    <row r="426" spans="1:11" ht="14.5" x14ac:dyDescent="0.35">
      <c r="A426" s="3">
        <v>44856</v>
      </c>
      <c r="B426" s="4">
        <v>2022</v>
      </c>
      <c r="C426" s="4" t="s">
        <v>11</v>
      </c>
      <c r="D426" s="4" t="s">
        <v>15</v>
      </c>
      <c r="E426" s="5">
        <v>1102.26</v>
      </c>
      <c r="F426" s="7">
        <v>13638</v>
      </c>
      <c r="G426" s="4">
        <v>165.99</v>
      </c>
      <c r="H426" s="7">
        <v>7456</v>
      </c>
      <c r="I426" s="5">
        <v>20149.509999999998</v>
      </c>
      <c r="J426" s="6">
        <v>475</v>
      </c>
      <c r="K426" s="6">
        <v>487</v>
      </c>
    </row>
    <row r="427" spans="1:11" ht="14.5" x14ac:dyDescent="0.35">
      <c r="A427" s="3">
        <v>44856</v>
      </c>
      <c r="B427" s="4">
        <v>2022</v>
      </c>
      <c r="C427" s="4" t="s">
        <v>13</v>
      </c>
      <c r="D427" s="4" t="s">
        <v>18</v>
      </c>
      <c r="E427" s="5">
        <v>7703.23</v>
      </c>
      <c r="F427" s="7">
        <v>508514</v>
      </c>
      <c r="G427" s="7">
        <v>9850</v>
      </c>
      <c r="H427" s="4">
        <v>144</v>
      </c>
      <c r="I427" s="5">
        <v>12617.34</v>
      </c>
      <c r="J427" s="6">
        <v>637</v>
      </c>
      <c r="K427" s="8">
        <v>1051</v>
      </c>
    </row>
    <row r="428" spans="1:11" ht="14.5" x14ac:dyDescent="0.35">
      <c r="A428" s="3">
        <v>44856</v>
      </c>
      <c r="B428" s="4">
        <v>2022</v>
      </c>
      <c r="C428" s="4" t="s">
        <v>13</v>
      </c>
      <c r="D428" s="4" t="s">
        <v>16</v>
      </c>
      <c r="E428" s="5">
        <v>189281.86</v>
      </c>
      <c r="F428" s="7">
        <v>11506328</v>
      </c>
      <c r="G428" s="7">
        <v>343903</v>
      </c>
      <c r="H428" s="7">
        <v>5014</v>
      </c>
      <c r="I428" s="5">
        <v>447351.27</v>
      </c>
      <c r="J428" s="8">
        <v>1989</v>
      </c>
      <c r="K428" s="8">
        <v>3417</v>
      </c>
    </row>
    <row r="429" spans="1:11" ht="14.5" x14ac:dyDescent="0.35">
      <c r="A429" s="3">
        <v>44856</v>
      </c>
      <c r="B429" s="4">
        <v>2022</v>
      </c>
      <c r="C429" s="4" t="s">
        <v>13</v>
      </c>
      <c r="D429" s="4" t="s">
        <v>14</v>
      </c>
      <c r="E429" s="5">
        <v>72605.91</v>
      </c>
      <c r="F429" s="7">
        <v>6883820</v>
      </c>
      <c r="G429" s="7">
        <v>313955</v>
      </c>
      <c r="H429" s="7">
        <v>10429</v>
      </c>
      <c r="I429" s="5">
        <v>1060957.02</v>
      </c>
      <c r="J429" s="8">
        <v>1653</v>
      </c>
      <c r="K429" s="8">
        <v>2829</v>
      </c>
    </row>
    <row r="430" spans="1:11" ht="14.5" x14ac:dyDescent="0.35">
      <c r="A430" s="3">
        <v>44863</v>
      </c>
      <c r="B430" s="4">
        <v>2022</v>
      </c>
      <c r="C430" s="4" t="s">
        <v>13</v>
      </c>
      <c r="D430" s="4" t="s">
        <v>17</v>
      </c>
      <c r="E430" s="5">
        <v>55147.47</v>
      </c>
      <c r="F430" s="7">
        <v>3534209</v>
      </c>
      <c r="G430" s="7">
        <v>168546</v>
      </c>
      <c r="H430" s="7">
        <v>6178</v>
      </c>
      <c r="I430" s="5">
        <v>61866.89</v>
      </c>
      <c r="J430" s="8">
        <v>1537</v>
      </c>
      <c r="K430" s="8">
        <v>2626</v>
      </c>
    </row>
    <row r="431" spans="1:11" ht="14.5" x14ac:dyDescent="0.35">
      <c r="A431" s="3">
        <v>44863</v>
      </c>
      <c r="B431" s="4">
        <v>2022</v>
      </c>
      <c r="C431" s="4" t="s">
        <v>11</v>
      </c>
      <c r="D431" s="4" t="s">
        <v>12</v>
      </c>
      <c r="E431" s="5">
        <v>6576.2</v>
      </c>
      <c r="F431" s="7">
        <v>105754</v>
      </c>
      <c r="G431" s="4">
        <v>103.08</v>
      </c>
      <c r="H431" s="7">
        <v>6305</v>
      </c>
      <c r="I431" s="5">
        <v>12859.32</v>
      </c>
      <c r="J431" s="6">
        <v>829</v>
      </c>
      <c r="K431" s="6">
        <v>841</v>
      </c>
    </row>
    <row r="432" spans="1:11" ht="14.5" x14ac:dyDescent="0.35">
      <c r="A432" s="3">
        <v>44863</v>
      </c>
      <c r="B432" s="4">
        <v>2022</v>
      </c>
      <c r="C432" s="4" t="s">
        <v>13</v>
      </c>
      <c r="D432" s="4" t="s">
        <v>18</v>
      </c>
      <c r="E432" s="5">
        <v>9778.75</v>
      </c>
      <c r="F432" s="7">
        <v>530438</v>
      </c>
      <c r="G432" s="7">
        <v>14541</v>
      </c>
      <c r="H432" s="4">
        <v>387</v>
      </c>
      <c r="I432" s="5">
        <v>39437.78</v>
      </c>
      <c r="J432" s="6">
        <v>713</v>
      </c>
      <c r="K432" s="8">
        <v>1184</v>
      </c>
    </row>
    <row r="433" spans="1:11" ht="14.5" x14ac:dyDescent="0.35">
      <c r="A433" s="3">
        <v>44863</v>
      </c>
      <c r="B433" s="4">
        <v>2022</v>
      </c>
      <c r="C433" s="4" t="s">
        <v>11</v>
      </c>
      <c r="D433" s="4" t="s">
        <v>15</v>
      </c>
      <c r="E433" s="5">
        <v>1604.14</v>
      </c>
      <c r="F433" s="7">
        <v>107076</v>
      </c>
      <c r="G433" s="9">
        <v>1598.76</v>
      </c>
      <c r="H433" s="7">
        <v>27822</v>
      </c>
      <c r="I433" s="5">
        <v>187286.02</v>
      </c>
      <c r="J433" s="6">
        <v>559</v>
      </c>
      <c r="K433" s="6">
        <v>571</v>
      </c>
    </row>
    <row r="434" spans="1:11" ht="14.5" x14ac:dyDescent="0.35">
      <c r="A434" s="3">
        <v>44863</v>
      </c>
      <c r="B434" s="4">
        <v>2022</v>
      </c>
      <c r="C434" s="4" t="s">
        <v>13</v>
      </c>
      <c r="D434" s="4" t="s">
        <v>14</v>
      </c>
      <c r="E434" s="5">
        <v>89619.04</v>
      </c>
      <c r="F434" s="7">
        <v>4641447</v>
      </c>
      <c r="G434" s="7">
        <v>233281</v>
      </c>
      <c r="H434" s="7">
        <v>7631</v>
      </c>
      <c r="I434" s="5">
        <v>980013.07</v>
      </c>
      <c r="J434" s="8">
        <v>1729</v>
      </c>
      <c r="K434" s="8">
        <v>2962</v>
      </c>
    </row>
    <row r="435" spans="1:11" ht="14.5" x14ac:dyDescent="0.35">
      <c r="A435" s="3">
        <v>44863</v>
      </c>
      <c r="B435" s="4">
        <v>2022</v>
      </c>
      <c r="C435" s="4" t="s">
        <v>13</v>
      </c>
      <c r="D435" s="4" t="s">
        <v>16</v>
      </c>
      <c r="E435" s="5">
        <v>194931.56</v>
      </c>
      <c r="F435" s="7">
        <v>20593294</v>
      </c>
      <c r="G435" s="7">
        <v>679477</v>
      </c>
      <c r="H435" s="7">
        <v>18407</v>
      </c>
      <c r="I435" s="5">
        <v>1511211.8</v>
      </c>
      <c r="J435" s="8">
        <v>1997</v>
      </c>
      <c r="K435" s="8">
        <v>3431</v>
      </c>
    </row>
    <row r="436" spans="1:11" ht="14.5" x14ac:dyDescent="0.35">
      <c r="A436" s="3">
        <v>44870</v>
      </c>
      <c r="B436" s="4">
        <v>2022</v>
      </c>
      <c r="C436" s="4" t="s">
        <v>13</v>
      </c>
      <c r="D436" s="4" t="s">
        <v>17</v>
      </c>
      <c r="E436" s="5">
        <v>82990.009999999995</v>
      </c>
      <c r="F436" s="7">
        <v>4933255</v>
      </c>
      <c r="G436" s="7">
        <v>256810</v>
      </c>
      <c r="H436" s="7">
        <v>7652</v>
      </c>
      <c r="I436" s="5">
        <v>70140.56</v>
      </c>
      <c r="J436" s="8">
        <v>1693</v>
      </c>
      <c r="K436" s="8">
        <v>2899</v>
      </c>
    </row>
    <row r="437" spans="1:11" ht="14.5" x14ac:dyDescent="0.35">
      <c r="A437" s="3">
        <v>44870</v>
      </c>
      <c r="B437" s="4">
        <v>2022</v>
      </c>
      <c r="C437" s="4" t="s">
        <v>13</v>
      </c>
      <c r="D437" s="4" t="s">
        <v>18</v>
      </c>
      <c r="E437" s="5">
        <v>10004.549999999999</v>
      </c>
      <c r="F437" s="7">
        <v>778759</v>
      </c>
      <c r="G437" s="7">
        <v>17424</v>
      </c>
      <c r="H437" s="4">
        <v>332</v>
      </c>
      <c r="I437" s="5">
        <v>28312.94</v>
      </c>
      <c r="J437" s="6">
        <v>733</v>
      </c>
      <c r="K437" s="8">
        <v>1219</v>
      </c>
    </row>
    <row r="438" spans="1:11" ht="14.5" x14ac:dyDescent="0.35">
      <c r="A438" s="3">
        <v>44870</v>
      </c>
      <c r="B438" s="4">
        <v>2022</v>
      </c>
      <c r="C438" s="4" t="s">
        <v>11</v>
      </c>
      <c r="D438" s="4" t="s">
        <v>12</v>
      </c>
      <c r="E438" s="5">
        <v>24287.360000000001</v>
      </c>
      <c r="F438" s="7">
        <v>841629</v>
      </c>
      <c r="G438" s="4">
        <v>912</v>
      </c>
      <c r="H438" s="7">
        <v>19586</v>
      </c>
      <c r="I438" s="5">
        <v>119186.27</v>
      </c>
      <c r="J438" s="8">
        <v>1141</v>
      </c>
      <c r="K438" s="8">
        <v>1153</v>
      </c>
    </row>
    <row r="439" spans="1:11" ht="14.5" x14ac:dyDescent="0.35">
      <c r="A439" s="3">
        <v>44870</v>
      </c>
      <c r="B439" s="4">
        <v>2022</v>
      </c>
      <c r="C439" s="4" t="s">
        <v>11</v>
      </c>
      <c r="D439" s="4" t="s">
        <v>15</v>
      </c>
      <c r="E439" s="5">
        <v>3130.66</v>
      </c>
      <c r="F439" s="7">
        <v>147405</v>
      </c>
      <c r="G439" s="9">
        <v>3187.3</v>
      </c>
      <c r="H439" s="7">
        <v>44984</v>
      </c>
      <c r="I439" s="5">
        <v>348203.54</v>
      </c>
      <c r="J439" s="6">
        <v>679</v>
      </c>
      <c r="K439" s="6">
        <v>691</v>
      </c>
    </row>
    <row r="440" spans="1:11" ht="14.5" x14ac:dyDescent="0.35">
      <c r="A440" s="3">
        <v>44870</v>
      </c>
      <c r="B440" s="4">
        <v>2022</v>
      </c>
      <c r="C440" s="4" t="s">
        <v>13</v>
      </c>
      <c r="D440" s="4" t="s">
        <v>16</v>
      </c>
      <c r="E440" s="5">
        <v>220623.58</v>
      </c>
      <c r="F440" s="7">
        <v>10748336</v>
      </c>
      <c r="G440" s="7">
        <v>312529</v>
      </c>
      <c r="H440" s="7">
        <v>3700</v>
      </c>
      <c r="I440" s="5">
        <v>404361.84</v>
      </c>
      <c r="J440" s="8">
        <v>2009</v>
      </c>
      <c r="K440" s="8">
        <v>3452</v>
      </c>
    </row>
    <row r="441" spans="1:11" ht="14.5" x14ac:dyDescent="0.35">
      <c r="A441" s="3">
        <v>44870</v>
      </c>
      <c r="B441" s="4">
        <v>2022</v>
      </c>
      <c r="C441" s="4" t="s">
        <v>13</v>
      </c>
      <c r="D441" s="4" t="s">
        <v>14</v>
      </c>
      <c r="E441" s="5">
        <v>92605.73</v>
      </c>
      <c r="F441" s="7">
        <v>5762817</v>
      </c>
      <c r="G441" s="7">
        <v>277350</v>
      </c>
      <c r="H441" s="7">
        <v>9017</v>
      </c>
      <c r="I441" s="5">
        <v>904691.37</v>
      </c>
      <c r="J441" s="8">
        <v>1757</v>
      </c>
      <c r="K441" s="8">
        <v>3011</v>
      </c>
    </row>
    <row r="442" spans="1:11" ht="14.5" x14ac:dyDescent="0.35">
      <c r="A442" s="3">
        <v>44877</v>
      </c>
      <c r="B442" s="4">
        <v>2022</v>
      </c>
      <c r="C442" s="4" t="s">
        <v>13</v>
      </c>
      <c r="D442" s="4" t="s">
        <v>17</v>
      </c>
      <c r="E442" s="5">
        <v>92526.58</v>
      </c>
      <c r="F442" s="7">
        <v>5190894</v>
      </c>
      <c r="G442" s="7">
        <v>227311</v>
      </c>
      <c r="H442" s="7">
        <v>7356</v>
      </c>
      <c r="I442" s="5">
        <v>63959.38</v>
      </c>
      <c r="J442" s="8">
        <v>1753</v>
      </c>
      <c r="K442" s="8">
        <v>3004</v>
      </c>
    </row>
    <row r="443" spans="1:11" ht="14.5" x14ac:dyDescent="0.35">
      <c r="A443" s="3">
        <v>44877</v>
      </c>
      <c r="B443" s="4">
        <v>2022</v>
      </c>
      <c r="C443" s="4" t="s">
        <v>11</v>
      </c>
      <c r="D443" s="4" t="s">
        <v>12</v>
      </c>
      <c r="E443" s="5">
        <v>24663.95</v>
      </c>
      <c r="F443" s="7">
        <v>799474</v>
      </c>
      <c r="G443" s="9">
        <v>1032.18</v>
      </c>
      <c r="H443" s="7">
        <v>22594</v>
      </c>
      <c r="I443" s="5">
        <v>112478.98</v>
      </c>
      <c r="J443" s="8">
        <v>1153</v>
      </c>
      <c r="K443" s="8">
        <v>1165</v>
      </c>
    </row>
    <row r="444" spans="1:11" ht="14.5" x14ac:dyDescent="0.35">
      <c r="A444" s="3">
        <v>44877</v>
      </c>
      <c r="B444" s="4">
        <v>2022</v>
      </c>
      <c r="C444" s="4" t="s">
        <v>13</v>
      </c>
      <c r="D444" s="4" t="s">
        <v>18</v>
      </c>
      <c r="E444" s="5">
        <v>30817.37</v>
      </c>
      <c r="F444" s="7">
        <v>2530268</v>
      </c>
      <c r="G444" s="7">
        <v>76253</v>
      </c>
      <c r="H444" s="7">
        <v>2691</v>
      </c>
      <c r="I444" s="5">
        <v>266315.88</v>
      </c>
      <c r="J444" s="8">
        <v>1225</v>
      </c>
      <c r="K444" s="8">
        <v>2080</v>
      </c>
    </row>
    <row r="445" spans="1:11" ht="14.5" x14ac:dyDescent="0.35">
      <c r="A445" s="3">
        <v>44877</v>
      </c>
      <c r="B445" s="4">
        <v>2022</v>
      </c>
      <c r="C445" s="4" t="s">
        <v>11</v>
      </c>
      <c r="D445" s="4" t="s">
        <v>15</v>
      </c>
      <c r="E445" s="5">
        <v>4136.8</v>
      </c>
      <c r="F445" s="7">
        <v>134019</v>
      </c>
      <c r="G445" s="9">
        <v>4862.0600000000004</v>
      </c>
      <c r="H445" s="7">
        <v>74480</v>
      </c>
      <c r="I445" s="5">
        <v>677901.08</v>
      </c>
      <c r="J445" s="6">
        <v>733</v>
      </c>
      <c r="K445" s="6">
        <v>745</v>
      </c>
    </row>
    <row r="446" spans="1:11" ht="14.5" x14ac:dyDescent="0.35">
      <c r="A446" s="3">
        <v>44877</v>
      </c>
      <c r="B446" s="4">
        <v>2022</v>
      </c>
      <c r="C446" s="4" t="s">
        <v>13</v>
      </c>
      <c r="D446" s="4" t="s">
        <v>16</v>
      </c>
      <c r="E446" s="5">
        <v>234974.56</v>
      </c>
      <c r="F446" s="7">
        <v>21491296</v>
      </c>
      <c r="G446" s="7">
        <v>701155</v>
      </c>
      <c r="H446" s="7">
        <v>13023</v>
      </c>
      <c r="I446" s="5">
        <v>1147993.6399999999</v>
      </c>
      <c r="J446" s="8">
        <v>2013</v>
      </c>
      <c r="K446" s="8">
        <v>3459</v>
      </c>
    </row>
    <row r="447" spans="1:11" ht="14.5" x14ac:dyDescent="0.35">
      <c r="A447" s="3">
        <v>44877</v>
      </c>
      <c r="B447" s="4">
        <v>2022</v>
      </c>
      <c r="C447" s="4" t="s">
        <v>13</v>
      </c>
      <c r="D447" s="4" t="s">
        <v>14</v>
      </c>
      <c r="E447" s="5">
        <v>95806.56</v>
      </c>
      <c r="F447" s="7">
        <v>5686614</v>
      </c>
      <c r="G447" s="7">
        <v>311369</v>
      </c>
      <c r="H447" s="7">
        <v>9563</v>
      </c>
      <c r="I447" s="5">
        <v>1197351.1499999999</v>
      </c>
      <c r="J447" s="8">
        <v>1765</v>
      </c>
      <c r="K447" s="8">
        <v>3025</v>
      </c>
    </row>
    <row r="448" spans="1:11" ht="14.5" x14ac:dyDescent="0.35">
      <c r="A448" s="3">
        <v>44884</v>
      </c>
      <c r="B448" s="4">
        <v>2022</v>
      </c>
      <c r="C448" s="4" t="s">
        <v>13</v>
      </c>
      <c r="D448" s="4" t="s">
        <v>17</v>
      </c>
      <c r="E448" s="5">
        <v>113024.28</v>
      </c>
      <c r="F448" s="7">
        <v>6101200</v>
      </c>
      <c r="G448" s="7">
        <v>288469</v>
      </c>
      <c r="H448" s="7">
        <v>9126</v>
      </c>
      <c r="I448" s="5">
        <v>91495.92</v>
      </c>
      <c r="J448" s="8">
        <v>1817</v>
      </c>
      <c r="K448" s="8">
        <v>3116</v>
      </c>
    </row>
    <row r="449" spans="1:11" ht="14.5" x14ac:dyDescent="0.35">
      <c r="A449" s="3">
        <v>44884</v>
      </c>
      <c r="B449" s="4">
        <v>2022</v>
      </c>
      <c r="C449" s="4" t="s">
        <v>13</v>
      </c>
      <c r="D449" s="4" t="s">
        <v>18</v>
      </c>
      <c r="E449" s="5">
        <v>47176.81</v>
      </c>
      <c r="F449" s="7">
        <v>3701788</v>
      </c>
      <c r="G449" s="7">
        <v>138174</v>
      </c>
      <c r="H449" s="7">
        <v>3767</v>
      </c>
      <c r="I449" s="5">
        <v>329584.63</v>
      </c>
      <c r="J449" s="8">
        <v>1469</v>
      </c>
      <c r="K449" s="8">
        <v>2507</v>
      </c>
    </row>
    <row r="450" spans="1:11" ht="14.5" x14ac:dyDescent="0.35">
      <c r="A450" s="3">
        <v>44884</v>
      </c>
      <c r="B450" s="4">
        <v>2022</v>
      </c>
      <c r="C450" s="4" t="s">
        <v>11</v>
      </c>
      <c r="D450" s="4" t="s">
        <v>12</v>
      </c>
      <c r="E450" s="5">
        <v>83192.09</v>
      </c>
      <c r="F450" s="7">
        <v>2702824</v>
      </c>
      <c r="G450" s="9">
        <v>3447.64</v>
      </c>
      <c r="H450" s="7">
        <v>89768</v>
      </c>
      <c r="I450" s="5">
        <v>373694.94</v>
      </c>
      <c r="J450" s="8">
        <v>1471</v>
      </c>
      <c r="K450" s="8">
        <v>1483</v>
      </c>
    </row>
    <row r="451" spans="1:11" ht="14.5" x14ac:dyDescent="0.35">
      <c r="A451" s="3">
        <v>44884</v>
      </c>
      <c r="B451" s="4">
        <v>2022</v>
      </c>
      <c r="C451" s="4" t="s">
        <v>11</v>
      </c>
      <c r="D451" s="4" t="s">
        <v>15</v>
      </c>
      <c r="E451" s="5">
        <v>5406.66</v>
      </c>
      <c r="F451" s="7">
        <v>235651</v>
      </c>
      <c r="G451" s="9">
        <v>7570.61</v>
      </c>
      <c r="H451" s="7">
        <v>87323</v>
      </c>
      <c r="I451" s="5">
        <v>882941.74</v>
      </c>
      <c r="J451" s="6">
        <v>787</v>
      </c>
      <c r="K451" s="6">
        <v>799</v>
      </c>
    </row>
    <row r="452" spans="1:11" ht="14.5" x14ac:dyDescent="0.35">
      <c r="A452" s="3">
        <v>44884</v>
      </c>
      <c r="B452" s="4">
        <v>2022</v>
      </c>
      <c r="C452" s="4" t="s">
        <v>13</v>
      </c>
      <c r="D452" s="4" t="s">
        <v>16</v>
      </c>
      <c r="E452" s="5">
        <v>239411.31</v>
      </c>
      <c r="F452" s="7">
        <v>18250011</v>
      </c>
      <c r="G452" s="7">
        <v>649382</v>
      </c>
      <c r="H452" s="7">
        <v>10356</v>
      </c>
      <c r="I452" s="5">
        <v>1015241.4</v>
      </c>
      <c r="J452" s="8">
        <v>2017</v>
      </c>
      <c r="K452" s="8">
        <v>3466</v>
      </c>
    </row>
    <row r="453" spans="1:11" ht="14.5" x14ac:dyDescent="0.35">
      <c r="A453" s="3">
        <v>44884</v>
      </c>
      <c r="B453" s="4">
        <v>2022</v>
      </c>
      <c r="C453" s="4" t="s">
        <v>13</v>
      </c>
      <c r="D453" s="4" t="s">
        <v>14</v>
      </c>
      <c r="E453" s="5">
        <v>121013.87</v>
      </c>
      <c r="F453" s="7">
        <v>11851291</v>
      </c>
      <c r="G453" s="7">
        <v>480539</v>
      </c>
      <c r="H453" s="7">
        <v>22888</v>
      </c>
      <c r="I453" s="5">
        <v>2612519.46</v>
      </c>
      <c r="J453" s="8">
        <v>1849</v>
      </c>
      <c r="K453" s="8">
        <v>3172</v>
      </c>
    </row>
    <row r="454" spans="1:11" ht="14.5" x14ac:dyDescent="0.35">
      <c r="A454" s="3">
        <v>44891</v>
      </c>
      <c r="B454" s="4">
        <v>2022</v>
      </c>
      <c r="C454" s="4" t="s">
        <v>13</v>
      </c>
      <c r="D454" s="4" t="s">
        <v>17</v>
      </c>
      <c r="E454" s="5">
        <v>121146.12</v>
      </c>
      <c r="F454" s="7">
        <v>7477199</v>
      </c>
      <c r="G454" s="7">
        <v>320360</v>
      </c>
      <c r="H454" s="7">
        <v>11325</v>
      </c>
      <c r="I454" s="5">
        <v>105026.91</v>
      </c>
      <c r="J454" s="8">
        <v>1853</v>
      </c>
      <c r="K454" s="8">
        <v>3179</v>
      </c>
    </row>
    <row r="455" spans="1:11" ht="14.5" x14ac:dyDescent="0.35">
      <c r="A455" s="3">
        <v>44891</v>
      </c>
      <c r="B455" s="4">
        <v>2022</v>
      </c>
      <c r="C455" s="4" t="s">
        <v>13</v>
      </c>
      <c r="D455" s="4" t="s">
        <v>18</v>
      </c>
      <c r="E455" s="5">
        <v>52625.03</v>
      </c>
      <c r="F455" s="7">
        <v>4656475</v>
      </c>
      <c r="G455" s="7">
        <v>153374</v>
      </c>
      <c r="H455" s="7">
        <v>4855</v>
      </c>
      <c r="I455" s="5">
        <v>425881.75</v>
      </c>
      <c r="J455" s="8">
        <v>1509</v>
      </c>
      <c r="K455" s="8">
        <v>2577</v>
      </c>
    </row>
    <row r="456" spans="1:11" ht="14.5" x14ac:dyDescent="0.35">
      <c r="A456" s="3">
        <v>44891</v>
      </c>
      <c r="B456" s="4">
        <v>2022</v>
      </c>
      <c r="C456" s="4" t="s">
        <v>11</v>
      </c>
      <c r="D456" s="4" t="s">
        <v>12</v>
      </c>
      <c r="E456" s="5">
        <v>117381.2</v>
      </c>
      <c r="F456" s="7">
        <v>3324717</v>
      </c>
      <c r="G456" s="9">
        <v>3438.96</v>
      </c>
      <c r="H456" s="7">
        <v>112494</v>
      </c>
      <c r="I456" s="5">
        <v>467278.97</v>
      </c>
      <c r="J456" s="8">
        <v>1555</v>
      </c>
      <c r="K456" s="8">
        <v>1567</v>
      </c>
    </row>
    <row r="457" spans="1:11" ht="14.5" x14ac:dyDescent="0.35">
      <c r="A457" s="3">
        <v>44891</v>
      </c>
      <c r="B457" s="4">
        <v>2022</v>
      </c>
      <c r="C457" s="4" t="s">
        <v>11</v>
      </c>
      <c r="D457" s="4" t="s">
        <v>15</v>
      </c>
      <c r="E457" s="5">
        <v>6998.94</v>
      </c>
      <c r="F457" s="7">
        <v>284779</v>
      </c>
      <c r="G457" s="9">
        <v>7449.63</v>
      </c>
      <c r="H457" s="7">
        <v>82834</v>
      </c>
      <c r="I457" s="5">
        <v>895607.54</v>
      </c>
      <c r="J457" s="6">
        <v>841</v>
      </c>
      <c r="K457" s="6">
        <v>853</v>
      </c>
    </row>
    <row r="458" spans="1:11" ht="14.5" x14ac:dyDescent="0.35">
      <c r="A458" s="3">
        <v>44891</v>
      </c>
      <c r="B458" s="4">
        <v>2022</v>
      </c>
      <c r="C458" s="4" t="s">
        <v>13</v>
      </c>
      <c r="D458" s="4" t="s">
        <v>16</v>
      </c>
      <c r="E458" s="5">
        <v>247542.76</v>
      </c>
      <c r="F458" s="7">
        <v>16985921</v>
      </c>
      <c r="G458" s="7">
        <v>458034</v>
      </c>
      <c r="H458" s="7">
        <v>10164</v>
      </c>
      <c r="I458" s="5">
        <v>1034332.67</v>
      </c>
      <c r="J458" s="8">
        <v>2021</v>
      </c>
      <c r="K458" s="8">
        <v>3473</v>
      </c>
    </row>
    <row r="459" spans="1:11" ht="14.5" x14ac:dyDescent="0.35">
      <c r="A459" s="3">
        <v>44891</v>
      </c>
      <c r="B459" s="4">
        <v>2022</v>
      </c>
      <c r="C459" s="4" t="s">
        <v>13</v>
      </c>
      <c r="D459" s="4" t="s">
        <v>14</v>
      </c>
      <c r="E459" s="5">
        <v>145165.31</v>
      </c>
      <c r="F459" s="7">
        <v>6388591</v>
      </c>
      <c r="G459" s="7">
        <v>368378</v>
      </c>
      <c r="H459" s="7">
        <v>14937</v>
      </c>
      <c r="I459" s="5">
        <v>1584449.03</v>
      </c>
      <c r="J459" s="8">
        <v>1917</v>
      </c>
      <c r="K459" s="8">
        <v>3291</v>
      </c>
    </row>
    <row r="460" spans="1:11" ht="14.5" x14ac:dyDescent="0.35">
      <c r="A460" s="3">
        <v>44898</v>
      </c>
      <c r="B460" s="4">
        <v>2022</v>
      </c>
      <c r="C460" s="4" t="s">
        <v>13</v>
      </c>
      <c r="D460" s="4" t="s">
        <v>17</v>
      </c>
      <c r="E460" s="5">
        <v>123467.92</v>
      </c>
      <c r="F460" s="7">
        <v>6123954</v>
      </c>
      <c r="G460" s="7">
        <v>274466</v>
      </c>
      <c r="H460" s="7">
        <v>9456</v>
      </c>
      <c r="I460" s="5">
        <v>68412.45</v>
      </c>
      <c r="J460" s="8">
        <v>1861</v>
      </c>
      <c r="K460" s="8">
        <v>3193</v>
      </c>
    </row>
    <row r="461" spans="1:11" ht="14.5" x14ac:dyDescent="0.35">
      <c r="A461" s="3">
        <v>44898</v>
      </c>
      <c r="B461" s="4">
        <v>2022</v>
      </c>
      <c r="C461" s="4" t="s">
        <v>13</v>
      </c>
      <c r="D461" s="4" t="s">
        <v>18</v>
      </c>
      <c r="E461" s="5">
        <v>88894.91</v>
      </c>
      <c r="F461" s="7">
        <v>5413204</v>
      </c>
      <c r="G461" s="7">
        <v>175674</v>
      </c>
      <c r="H461" s="7">
        <v>3700</v>
      </c>
      <c r="I461" s="5">
        <v>361620.18</v>
      </c>
      <c r="J461" s="8">
        <v>1725</v>
      </c>
      <c r="K461" s="8">
        <v>2955</v>
      </c>
    </row>
    <row r="462" spans="1:11" ht="14.5" x14ac:dyDescent="0.35">
      <c r="A462" s="3">
        <v>44898</v>
      </c>
      <c r="B462" s="4">
        <v>2022</v>
      </c>
      <c r="C462" s="4" t="s">
        <v>11</v>
      </c>
      <c r="D462" s="4" t="s">
        <v>12</v>
      </c>
      <c r="E462" s="5">
        <v>128035.7</v>
      </c>
      <c r="F462" s="7">
        <v>4213899</v>
      </c>
      <c r="G462" s="9">
        <v>4932.57</v>
      </c>
      <c r="H462" s="7">
        <v>139974</v>
      </c>
      <c r="I462" s="5">
        <v>566469.57999999996</v>
      </c>
      <c r="J462" s="8">
        <v>1585</v>
      </c>
      <c r="K462" s="8">
        <v>1597</v>
      </c>
    </row>
    <row r="463" spans="1:11" ht="14.5" x14ac:dyDescent="0.35">
      <c r="A463" s="3">
        <v>44898</v>
      </c>
      <c r="B463" s="4">
        <v>2022</v>
      </c>
      <c r="C463" s="4" t="s">
        <v>13</v>
      </c>
      <c r="D463" s="4" t="s">
        <v>16</v>
      </c>
      <c r="E463" s="5">
        <v>261489.35</v>
      </c>
      <c r="F463" s="7">
        <v>11526771</v>
      </c>
      <c r="G463" s="7">
        <v>366213</v>
      </c>
      <c r="H463" s="7">
        <v>6208</v>
      </c>
      <c r="I463" s="5">
        <v>639696.71</v>
      </c>
      <c r="J463" s="8">
        <v>2025</v>
      </c>
      <c r="K463" s="8">
        <v>3480</v>
      </c>
    </row>
    <row r="464" spans="1:11" ht="14.5" x14ac:dyDescent="0.35">
      <c r="A464" s="3">
        <v>44898</v>
      </c>
      <c r="B464" s="4">
        <v>2022</v>
      </c>
      <c r="C464" s="4" t="s">
        <v>13</v>
      </c>
      <c r="D464" s="4" t="s">
        <v>14</v>
      </c>
      <c r="E464" s="5">
        <v>147366.04999999999</v>
      </c>
      <c r="F464" s="7">
        <v>8543491</v>
      </c>
      <c r="G464" s="7">
        <v>274740</v>
      </c>
      <c r="H464" s="7">
        <v>10657</v>
      </c>
      <c r="I464" s="5">
        <v>988881.93</v>
      </c>
      <c r="J464" s="8">
        <v>1921</v>
      </c>
      <c r="K464" s="8">
        <v>3298</v>
      </c>
    </row>
    <row r="465" spans="1:11" ht="14.5" x14ac:dyDescent="0.35">
      <c r="A465" s="3">
        <v>44898</v>
      </c>
      <c r="B465" s="4">
        <v>2022</v>
      </c>
      <c r="C465" s="4" t="s">
        <v>11</v>
      </c>
      <c r="D465" s="4" t="s">
        <v>15</v>
      </c>
      <c r="E465" s="5">
        <v>12935.77</v>
      </c>
      <c r="F465" s="7">
        <v>411242</v>
      </c>
      <c r="G465" s="9">
        <v>23483.17</v>
      </c>
      <c r="H465" s="7">
        <v>236731</v>
      </c>
      <c r="I465" s="5">
        <v>2773714.11</v>
      </c>
      <c r="J465" s="6">
        <v>985</v>
      </c>
      <c r="K465" s="6">
        <v>997</v>
      </c>
    </row>
    <row r="466" spans="1:11" ht="14.5" x14ac:dyDescent="0.35">
      <c r="A466" s="3">
        <v>44905</v>
      </c>
      <c r="B466" s="4">
        <v>2022</v>
      </c>
      <c r="C466" s="4" t="s">
        <v>13</v>
      </c>
      <c r="D466" s="4" t="s">
        <v>17</v>
      </c>
      <c r="E466" s="5">
        <v>125455.86</v>
      </c>
      <c r="F466" s="7">
        <v>4727136</v>
      </c>
      <c r="G466" s="7">
        <v>262812</v>
      </c>
      <c r="H466" s="7">
        <v>8881</v>
      </c>
      <c r="I466" s="5">
        <v>59892.42</v>
      </c>
      <c r="J466" s="8">
        <v>1877</v>
      </c>
      <c r="K466" s="8">
        <v>3221</v>
      </c>
    </row>
    <row r="467" spans="1:11" ht="14.5" x14ac:dyDescent="0.35">
      <c r="A467" s="3">
        <v>44905</v>
      </c>
      <c r="B467" s="4">
        <v>2022</v>
      </c>
      <c r="C467" s="4" t="s">
        <v>11</v>
      </c>
      <c r="D467" s="4" t="s">
        <v>12</v>
      </c>
      <c r="E467" s="5">
        <v>131014.07</v>
      </c>
      <c r="F467" s="7">
        <v>3505275</v>
      </c>
      <c r="G467" s="9">
        <v>5250.37</v>
      </c>
      <c r="H467" s="7">
        <v>133487</v>
      </c>
      <c r="I467" s="5">
        <v>697269.61</v>
      </c>
      <c r="J467" s="8">
        <v>1591</v>
      </c>
      <c r="K467" s="8">
        <v>1603</v>
      </c>
    </row>
    <row r="468" spans="1:11" ht="14.5" x14ac:dyDescent="0.35">
      <c r="A468" s="3">
        <v>44905</v>
      </c>
      <c r="B468" s="4">
        <v>2022</v>
      </c>
      <c r="C468" s="4" t="s">
        <v>13</v>
      </c>
      <c r="D468" s="4" t="s">
        <v>18</v>
      </c>
      <c r="E468" s="5">
        <v>97051.38</v>
      </c>
      <c r="F468" s="7">
        <v>5984356</v>
      </c>
      <c r="G468" s="7">
        <v>206503</v>
      </c>
      <c r="H468" s="7">
        <v>4695</v>
      </c>
      <c r="I468" s="5">
        <v>455308.93</v>
      </c>
      <c r="J468" s="8">
        <v>1773</v>
      </c>
      <c r="K468" s="8">
        <v>3039</v>
      </c>
    </row>
    <row r="469" spans="1:11" ht="14.5" x14ac:dyDescent="0.35">
      <c r="A469" s="3">
        <v>44905</v>
      </c>
      <c r="B469" s="4">
        <v>2022</v>
      </c>
      <c r="C469" s="4" t="s">
        <v>13</v>
      </c>
      <c r="D469" s="4" t="s">
        <v>16</v>
      </c>
      <c r="E469" s="5">
        <v>307196.38</v>
      </c>
      <c r="F469" s="7">
        <v>24026048</v>
      </c>
      <c r="G469" s="7">
        <v>567276</v>
      </c>
      <c r="H469" s="7">
        <v>12958</v>
      </c>
      <c r="I469" s="5">
        <v>1159275.22</v>
      </c>
      <c r="J469" s="8">
        <v>2029</v>
      </c>
      <c r="K469" s="8">
        <v>3487</v>
      </c>
    </row>
    <row r="470" spans="1:11" ht="14.5" x14ac:dyDescent="0.35">
      <c r="A470" s="3">
        <v>44905</v>
      </c>
      <c r="B470" s="4">
        <v>2022</v>
      </c>
      <c r="C470" s="4" t="s">
        <v>11</v>
      </c>
      <c r="D470" s="4" t="s">
        <v>15</v>
      </c>
      <c r="E470" s="5">
        <v>22246.28</v>
      </c>
      <c r="F470" s="7">
        <v>668027</v>
      </c>
      <c r="G470" s="9">
        <v>13931.83</v>
      </c>
      <c r="H470" s="7">
        <v>254472</v>
      </c>
      <c r="I470" s="5">
        <v>1620350.77</v>
      </c>
      <c r="J470" s="8">
        <v>1117</v>
      </c>
      <c r="K470" s="8">
        <v>1129</v>
      </c>
    </row>
    <row r="471" spans="1:11" ht="14.5" x14ac:dyDescent="0.35">
      <c r="A471" s="3">
        <v>44905</v>
      </c>
      <c r="B471" s="4">
        <v>2022</v>
      </c>
      <c r="C471" s="4" t="s">
        <v>13</v>
      </c>
      <c r="D471" s="4" t="s">
        <v>14</v>
      </c>
      <c r="E471" s="5">
        <v>154125.93</v>
      </c>
      <c r="F471" s="7">
        <v>12362187</v>
      </c>
      <c r="G471" s="7">
        <v>523911</v>
      </c>
      <c r="H471" s="7">
        <v>26600</v>
      </c>
      <c r="I471" s="5">
        <v>3100783.93</v>
      </c>
      <c r="J471" s="8">
        <v>1933</v>
      </c>
      <c r="K471" s="8">
        <v>3319</v>
      </c>
    </row>
    <row r="472" spans="1:11" ht="14.5" x14ac:dyDescent="0.35">
      <c r="A472" s="3">
        <v>44912</v>
      </c>
      <c r="B472" s="4">
        <v>2022</v>
      </c>
      <c r="C472" s="4" t="s">
        <v>13</v>
      </c>
      <c r="D472" s="4" t="s">
        <v>17</v>
      </c>
      <c r="E472" s="5">
        <v>126349.38</v>
      </c>
      <c r="F472" s="7">
        <v>6412850</v>
      </c>
      <c r="G472" s="7">
        <v>304402</v>
      </c>
      <c r="H472" s="7">
        <v>10041</v>
      </c>
      <c r="I472" s="5">
        <v>99792.92</v>
      </c>
      <c r="J472" s="8">
        <v>1881</v>
      </c>
      <c r="K472" s="8">
        <v>3228</v>
      </c>
    </row>
    <row r="473" spans="1:11" ht="14.5" x14ac:dyDescent="0.35">
      <c r="A473" s="3">
        <v>44912</v>
      </c>
      <c r="B473" s="4">
        <v>2022</v>
      </c>
      <c r="C473" s="4" t="s">
        <v>13</v>
      </c>
      <c r="D473" s="4" t="s">
        <v>18</v>
      </c>
      <c r="E473" s="5">
        <v>98858.35</v>
      </c>
      <c r="F473" s="7">
        <v>5759228</v>
      </c>
      <c r="G473" s="7">
        <v>188555</v>
      </c>
      <c r="H473" s="7">
        <v>4238</v>
      </c>
      <c r="I473" s="5">
        <v>476981.21</v>
      </c>
      <c r="J473" s="8">
        <v>1781</v>
      </c>
      <c r="K473" s="8">
        <v>3053</v>
      </c>
    </row>
    <row r="474" spans="1:11" ht="14.5" x14ac:dyDescent="0.35">
      <c r="A474" s="3">
        <v>44912</v>
      </c>
      <c r="B474" s="4">
        <v>2022</v>
      </c>
      <c r="C474" s="4" t="s">
        <v>13</v>
      </c>
      <c r="D474" s="4" t="s">
        <v>16</v>
      </c>
      <c r="E474" s="5">
        <v>356535.37</v>
      </c>
      <c r="F474" s="7">
        <v>17731067</v>
      </c>
      <c r="G474" s="7">
        <v>484212</v>
      </c>
      <c r="H474" s="7">
        <v>11611</v>
      </c>
      <c r="I474" s="5">
        <v>1020020.4</v>
      </c>
      <c r="J474" s="8">
        <v>2041</v>
      </c>
      <c r="K474" s="8">
        <v>3508</v>
      </c>
    </row>
    <row r="475" spans="1:11" ht="14.5" x14ac:dyDescent="0.35">
      <c r="A475" s="3">
        <v>44912</v>
      </c>
      <c r="B475" s="4">
        <v>2022</v>
      </c>
      <c r="C475" s="4" t="s">
        <v>11</v>
      </c>
      <c r="D475" s="4" t="s">
        <v>12</v>
      </c>
      <c r="E475" s="5">
        <v>147017.24</v>
      </c>
      <c r="F475" s="7">
        <v>3164888</v>
      </c>
      <c r="G475" s="9">
        <v>9289.2199999999993</v>
      </c>
      <c r="H475" s="7">
        <v>94226</v>
      </c>
      <c r="I475" s="5">
        <v>1212201.6499999999</v>
      </c>
      <c r="J475" s="8">
        <v>1615</v>
      </c>
      <c r="K475" s="8">
        <v>1627</v>
      </c>
    </row>
    <row r="476" spans="1:11" ht="14.5" x14ac:dyDescent="0.35">
      <c r="A476" s="3">
        <v>44912</v>
      </c>
      <c r="B476" s="4">
        <v>2022</v>
      </c>
      <c r="C476" s="4" t="s">
        <v>11</v>
      </c>
      <c r="D476" s="4" t="s">
        <v>15</v>
      </c>
      <c r="E476" s="5">
        <v>24751.38</v>
      </c>
      <c r="F476" s="7">
        <v>996310</v>
      </c>
      <c r="G476" s="9">
        <v>18480.48</v>
      </c>
      <c r="H476" s="7">
        <v>333242</v>
      </c>
      <c r="I476" s="5">
        <v>1962653.73</v>
      </c>
      <c r="J476" s="8">
        <v>1165</v>
      </c>
      <c r="K476" s="8">
        <v>1177</v>
      </c>
    </row>
    <row r="477" spans="1:11" ht="14.5" x14ac:dyDescent="0.35">
      <c r="A477" s="3">
        <v>44912</v>
      </c>
      <c r="B477" s="4">
        <v>2022</v>
      </c>
      <c r="C477" s="4" t="s">
        <v>13</v>
      </c>
      <c r="D477" s="4" t="s">
        <v>14</v>
      </c>
      <c r="E477" s="5">
        <v>160199.70000000001</v>
      </c>
      <c r="F477" s="7">
        <v>13580759</v>
      </c>
      <c r="G477" s="7">
        <v>560491</v>
      </c>
      <c r="H477" s="7">
        <v>39808</v>
      </c>
      <c r="I477" s="5">
        <v>3523901.35</v>
      </c>
      <c r="J477" s="8">
        <v>1937</v>
      </c>
      <c r="K477" s="8">
        <v>3326</v>
      </c>
    </row>
    <row r="478" spans="1:11" ht="14.5" x14ac:dyDescent="0.35">
      <c r="A478" s="3">
        <v>44919</v>
      </c>
      <c r="B478" s="4">
        <v>2022</v>
      </c>
      <c r="C478" s="4" t="s">
        <v>13</v>
      </c>
      <c r="D478" s="4" t="s">
        <v>17</v>
      </c>
      <c r="E478" s="5">
        <v>126385.58</v>
      </c>
      <c r="F478" s="7">
        <v>6381032</v>
      </c>
      <c r="G478" s="7">
        <v>302881</v>
      </c>
      <c r="H478" s="7">
        <v>9949</v>
      </c>
      <c r="I478" s="5">
        <v>88235.93</v>
      </c>
      <c r="J478" s="8">
        <v>1885</v>
      </c>
      <c r="K478" s="8">
        <v>3235</v>
      </c>
    </row>
    <row r="479" spans="1:11" ht="14.5" x14ac:dyDescent="0.35">
      <c r="A479" s="3">
        <v>44919</v>
      </c>
      <c r="B479" s="4">
        <v>2022</v>
      </c>
      <c r="C479" s="4" t="s">
        <v>13</v>
      </c>
      <c r="D479" s="4" t="s">
        <v>18</v>
      </c>
      <c r="E479" s="5">
        <v>102934.43</v>
      </c>
      <c r="F479" s="7">
        <v>4988124</v>
      </c>
      <c r="G479" s="7">
        <v>165995</v>
      </c>
      <c r="H479" s="7">
        <v>4558</v>
      </c>
      <c r="I479" s="5">
        <v>448507.64</v>
      </c>
      <c r="J479" s="8">
        <v>1789</v>
      </c>
      <c r="K479" s="8">
        <v>3067</v>
      </c>
    </row>
    <row r="480" spans="1:11" ht="14.5" x14ac:dyDescent="0.35">
      <c r="A480" s="3">
        <v>44919</v>
      </c>
      <c r="B480" s="4">
        <v>2022</v>
      </c>
      <c r="C480" s="4" t="s">
        <v>11</v>
      </c>
      <c r="D480" s="4" t="s">
        <v>12</v>
      </c>
      <c r="E480" s="5">
        <v>150140.65</v>
      </c>
      <c r="F480" s="7">
        <v>3798245</v>
      </c>
      <c r="G480" s="9">
        <v>6127.82</v>
      </c>
      <c r="H480" s="7">
        <v>160953</v>
      </c>
      <c r="I480" s="5">
        <v>808710.29</v>
      </c>
      <c r="J480" s="8">
        <v>1621</v>
      </c>
      <c r="K480" s="8">
        <v>1633</v>
      </c>
    </row>
    <row r="481" spans="1:11" ht="14.5" x14ac:dyDescent="0.35">
      <c r="A481" s="3">
        <v>44919</v>
      </c>
      <c r="B481" s="4">
        <v>2022</v>
      </c>
      <c r="C481" s="4" t="s">
        <v>13</v>
      </c>
      <c r="D481" s="4" t="s">
        <v>14</v>
      </c>
      <c r="E481" s="5">
        <v>162919.31</v>
      </c>
      <c r="F481" s="7">
        <v>7066148</v>
      </c>
      <c r="G481" s="7">
        <v>278110</v>
      </c>
      <c r="H481" s="7">
        <v>12427</v>
      </c>
      <c r="I481" s="5">
        <v>1378858.57</v>
      </c>
      <c r="J481" s="8">
        <v>1961</v>
      </c>
      <c r="K481" s="8">
        <v>3368</v>
      </c>
    </row>
    <row r="482" spans="1:11" ht="14.5" x14ac:dyDescent="0.35">
      <c r="A482" s="3">
        <v>44919</v>
      </c>
      <c r="B482" s="4">
        <v>2022</v>
      </c>
      <c r="C482" s="4" t="s">
        <v>13</v>
      </c>
      <c r="D482" s="4" t="s">
        <v>16</v>
      </c>
      <c r="E482" s="5">
        <v>509296.49</v>
      </c>
      <c r="F482" s="7">
        <v>41030696</v>
      </c>
      <c r="G482" s="7">
        <v>1393513</v>
      </c>
      <c r="H482" s="7">
        <v>28178</v>
      </c>
      <c r="I482" s="5">
        <v>2446199.88</v>
      </c>
      <c r="J482" s="8">
        <v>2073</v>
      </c>
      <c r="K482" s="8">
        <v>3564</v>
      </c>
    </row>
    <row r="483" spans="1:11" ht="14.5" x14ac:dyDescent="0.35">
      <c r="A483" s="3">
        <v>44919</v>
      </c>
      <c r="B483" s="4">
        <v>2022</v>
      </c>
      <c r="C483" s="4" t="s">
        <v>11</v>
      </c>
      <c r="D483" s="4" t="s">
        <v>15</v>
      </c>
      <c r="E483" s="5">
        <v>37949.75</v>
      </c>
      <c r="F483" s="7">
        <v>1121710</v>
      </c>
      <c r="G483" s="9">
        <v>79511.39</v>
      </c>
      <c r="H483" s="7">
        <v>747982</v>
      </c>
      <c r="I483" s="5">
        <v>10085308.970000001</v>
      </c>
      <c r="J483" s="8">
        <v>1273</v>
      </c>
      <c r="K483" s="8">
        <v>1285</v>
      </c>
    </row>
    <row r="484" spans="1:11" ht="14.5" x14ac:dyDescent="0.35">
      <c r="A484" s="3">
        <v>44926</v>
      </c>
      <c r="B484" s="4">
        <v>2022</v>
      </c>
      <c r="C484" s="4" t="s">
        <v>13</v>
      </c>
      <c r="D484" s="4" t="s">
        <v>17</v>
      </c>
      <c r="E484" s="5">
        <v>131209.96</v>
      </c>
      <c r="F484" s="7">
        <v>6569051</v>
      </c>
      <c r="G484" s="7">
        <v>288630</v>
      </c>
      <c r="H484" s="7">
        <v>9741</v>
      </c>
      <c r="I484" s="5">
        <v>74598.25</v>
      </c>
      <c r="J484" s="8">
        <v>1897</v>
      </c>
      <c r="K484" s="8">
        <v>3256</v>
      </c>
    </row>
    <row r="485" spans="1:11" ht="14.5" x14ac:dyDescent="0.35">
      <c r="A485" s="3">
        <v>44926</v>
      </c>
      <c r="B485" s="4">
        <v>2022</v>
      </c>
      <c r="C485" s="4" t="s">
        <v>13</v>
      </c>
      <c r="D485" s="4" t="s">
        <v>18</v>
      </c>
      <c r="E485" s="5">
        <v>112190.21</v>
      </c>
      <c r="F485" s="7">
        <v>7245136</v>
      </c>
      <c r="G485" s="7">
        <v>198496</v>
      </c>
      <c r="H485" s="7">
        <v>6438</v>
      </c>
      <c r="I485" s="5">
        <v>585362.18999999994</v>
      </c>
      <c r="J485" s="8">
        <v>1809</v>
      </c>
      <c r="K485" s="8">
        <v>3102</v>
      </c>
    </row>
    <row r="486" spans="1:11" ht="14.5" x14ac:dyDescent="0.35">
      <c r="A486" s="3">
        <v>44926</v>
      </c>
      <c r="B486" s="4">
        <v>2022</v>
      </c>
      <c r="C486" s="4" t="s">
        <v>11</v>
      </c>
      <c r="D486" s="4" t="s">
        <v>12</v>
      </c>
      <c r="E486" s="5">
        <v>200790.56</v>
      </c>
      <c r="F486" s="7">
        <v>2632771</v>
      </c>
      <c r="G486" s="9">
        <v>9369.6</v>
      </c>
      <c r="H486" s="7">
        <v>166743</v>
      </c>
      <c r="I486" s="5">
        <v>1223309.6000000001</v>
      </c>
      <c r="J486" s="8">
        <v>1651</v>
      </c>
      <c r="K486" s="8">
        <v>1663</v>
      </c>
    </row>
    <row r="487" spans="1:11" ht="14.5" x14ac:dyDescent="0.35">
      <c r="A487" s="3">
        <v>44926</v>
      </c>
      <c r="B487" s="4">
        <v>2022</v>
      </c>
      <c r="C487" s="4" t="s">
        <v>13</v>
      </c>
      <c r="D487" s="4" t="s">
        <v>16</v>
      </c>
      <c r="E487" s="5">
        <v>512359.34</v>
      </c>
      <c r="F487" s="7">
        <v>30180988</v>
      </c>
      <c r="G487" s="7">
        <v>1217200</v>
      </c>
      <c r="H487" s="7">
        <v>29981</v>
      </c>
      <c r="I487" s="5">
        <v>2937350.32</v>
      </c>
      <c r="J487" s="8">
        <v>2077</v>
      </c>
      <c r="K487" s="8">
        <v>3571</v>
      </c>
    </row>
    <row r="488" spans="1:11" ht="14.5" x14ac:dyDescent="0.35">
      <c r="A488" s="3">
        <v>44926</v>
      </c>
      <c r="B488" s="4">
        <v>2022</v>
      </c>
      <c r="C488" s="4" t="s">
        <v>11</v>
      </c>
      <c r="D488" s="4" t="s">
        <v>15</v>
      </c>
      <c r="E488" s="5">
        <v>238727.93</v>
      </c>
      <c r="F488" s="7">
        <v>10290169</v>
      </c>
      <c r="G488" s="9">
        <v>514120.62</v>
      </c>
      <c r="H488" s="7">
        <v>5969948</v>
      </c>
      <c r="I488" s="5">
        <v>62175956.840000004</v>
      </c>
      <c r="J488" s="8">
        <v>1675</v>
      </c>
      <c r="K488" s="8">
        <v>1687</v>
      </c>
    </row>
    <row r="489" spans="1:11" ht="14.5" x14ac:dyDescent="0.35">
      <c r="A489" s="3">
        <v>44926</v>
      </c>
      <c r="B489" s="4">
        <v>2022</v>
      </c>
      <c r="C489" s="4" t="s">
        <v>13</v>
      </c>
      <c r="D489" s="4" t="s">
        <v>14</v>
      </c>
      <c r="E489" s="5">
        <v>207670.84</v>
      </c>
      <c r="F489" s="7">
        <v>12933265</v>
      </c>
      <c r="G489" s="7">
        <v>615790</v>
      </c>
      <c r="H489" s="7">
        <v>51949</v>
      </c>
      <c r="I489" s="5">
        <v>5367049.13</v>
      </c>
      <c r="J489" s="8">
        <v>2005</v>
      </c>
      <c r="K489" s="8">
        <v>3445</v>
      </c>
    </row>
    <row r="490" spans="1:11" ht="15.75" customHeight="1" x14ac:dyDescent="0.35">
      <c r="A490" s="4" t="s">
        <v>19</v>
      </c>
      <c r="B490" s="4"/>
      <c r="C490" s="4"/>
      <c r="D490" s="4"/>
      <c r="E490" s="4"/>
      <c r="F490" s="4"/>
      <c r="G490" s="4"/>
      <c r="H490" s="4"/>
      <c r="I490" s="4"/>
      <c r="J490" s="6"/>
      <c r="K490" s="8">
        <f>SUBTOTAL(109,Table1[Existing Customers])</f>
        <v>898600</v>
      </c>
    </row>
  </sheetData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C83C4-263A-413C-9D19-689D987B8274}">
  <dimension ref="A1:E6"/>
  <sheetViews>
    <sheetView showGridLines="0" topLeftCell="B1" workbookViewId="0">
      <selection activeCell="D3" sqref="D3"/>
    </sheetView>
  </sheetViews>
  <sheetFormatPr defaultRowHeight="12.5" x14ac:dyDescent="0.25"/>
  <cols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15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>
        <f>IF(SUMIFS(Table1[Clicks], Table1[Subchannel], $A$1, Table1[Year], Table2[[#This Row],[YEAR]]) = 0, "",
   SUMIFS(Table1[Media Spend], Table1[Subchannel], $A$1, Table1[Year], Table2[[#This Row],[YEAR]]) /
   SUMIFS(Table1[Clicks], Table1[Subchannel], $A$1, Table1[Year], Table2[[#This Row],[YEAR]]))</f>
        <v>0.12122855405866925</v>
      </c>
      <c r="C3" s="11">
        <f>IF(SUMIFS(Table1[Media Spend], Table1[Subchannel], $A$1, Table1[Year], Table2[[#This Row],[YEAR]]) = 0, "",
   SUMIFS(Table1[Media Spend], Table1[Subchannel], $A$1, Table1[Year], Table2[[#This Row],[YEAR]]) /
   SUMIFS(Table1[Orders], Table1[Subchannel], $A$1, Table1[Year], Table2[[#This Row],[YEAR]]))</f>
        <v>1.2907903055714374</v>
      </c>
      <c r="D3" s="11">
        <f>IF(SUMIFS(Table1[Revenue], Table1[Subchannel], $A$1, Table1[Year], Table2[[#This Row],[YEAR]]) = 0, "",
   SUMIFS(Table1[Revenue], Table1[Subchannel], $A$1, Table1[Year], Table2[[#This Row],[YEAR]]) /
   SUMIFS(Table1[Orders], Table1[Subchannel], $A$1, Table1[Year], Table2[[#This Row],[YEAR]]))</f>
        <v>89.555741552764005</v>
      </c>
      <c r="E3" s="11">
        <f>IF(SUMIFS(Table1[Revenue], Table1[Subchannel], $A$1, Table1[Year], Table2[[#This Row],[YEAR]]) = 0, "",
   SUMIFS(Table1[Revenue], Table1[Subchannel], $A$1, Table1[Year], Table2[[#This Row],[YEAR]]) /
   SUMIFS(Table1[Media Spend], Table1[Subchannel], $A$1, Table1[Year], Table2[[#This Row],[YEAR]]))</f>
        <v>69.380550168539855</v>
      </c>
    </row>
    <row r="4" spans="1:5" x14ac:dyDescent="0.25">
      <c r="A4" s="10">
        <v>2021</v>
      </c>
      <c r="B4" s="11">
        <f>IF(SUMIFS(Table1[Clicks], Table1[Subchannel], $A$1, Table1[Year], Table2[[#This Row],[YEAR]]) = 0, "",
   SUMIFS(Table1[Media Spend], Table1[Subchannel], $A$1, Table1[Year], Table2[[#This Row],[YEAR]]) /
   SUMIFS(Table1[Clicks], Table1[Subchannel], $A$1, Table1[Year], Table2[[#This Row],[YEAR]]))</f>
        <v>4.7794620185857069E-2</v>
      </c>
      <c r="C4" s="11">
        <f>IF(SUMIFS(Table1[Media Spend], Table1[Subchannel], $A$1, Table1[Year], Table2[[#This Row],[YEAR]]) = 0, "",
   SUMIFS(Table1[Media Spend], Table1[Subchannel], $A$1, Table1[Year], Table2[[#This Row],[YEAR]]) /
   SUMIFS(Table1[Orders], Table1[Subchannel], $A$1, Table1[Year], Table2[[#This Row],[YEAR]]))</f>
        <v>0.49455425417927851</v>
      </c>
      <c r="D4" s="11">
        <f>IF(SUMIFS(Table1[Revenue], Table1[Subchannel], $A$1, Table1[Year], Table2[[#This Row],[YEAR]]) = 0, "",
   SUMIFS(Table1[Revenue], Table1[Subchannel], $A$1, Table1[Year], Table2[[#This Row],[YEAR]]) /
   SUMIFS(Table1[Orders], Table1[Subchannel], $A$1, Table1[Year], Table2[[#This Row],[YEAR]]))</f>
        <v>105.00403900918305</v>
      </c>
      <c r="E4" s="11">
        <f>IF(SUMIFS(Table1[Revenue], Table1[Subchannel], $A$1, Table1[Year], Table2[[#This Row],[YEAR]]) = 0, "",
   SUMIFS(Table1[Revenue], Table1[Subchannel], $A$1, Table1[Year], Table2[[#This Row],[YEAR]]) /
   SUMIFS(Table1[Media Spend], Table1[Subchannel], $A$1, Table1[Year], Table2[[#This Row],[YEAR]]))</f>
        <v>212.32056568482886</v>
      </c>
    </row>
    <row r="5" spans="1:5" x14ac:dyDescent="0.25">
      <c r="A5" s="10">
        <v>2022</v>
      </c>
      <c r="B5" s="11">
        <f>IF(SUMIFS(Table1[Clicks], Table1[Subchannel], $A$1, Table1[Year], Table2[[#This Row],[YEAR]]) = 0, "",
   SUMIFS(Table1[Media Spend], Table1[Subchannel], $A$1, Table1[Year], Table2[[#This Row],[YEAR]]) /
   SUMIFS(Table1[Clicks], Table1[Subchannel], $A$1, Table1[Year], Table2[[#This Row],[YEAR]]))</f>
        <v>4.5675032364513257E-2</v>
      </c>
      <c r="C5" s="11">
        <f>IF(SUMIFS(Table1[Media Spend], Table1[Subchannel], $A$1, Table1[Year], Table2[[#This Row],[YEAR]]) = 0, "",
   SUMIFS(Table1[Media Spend], Table1[Subchannel], $A$1, Table1[Year], Table2[[#This Row],[YEAR]]) /
   SUMIFS(Table1[Orders], Table1[Subchannel], $A$1, Table1[Year], Table2[[#This Row],[YEAR]]))</f>
        <v>0.53284784700117815</v>
      </c>
      <c r="D5" s="11">
        <f>IF(SUMIFS(Table1[Revenue], Table1[Subchannel], $A$1, Table1[Year], Table2[[#This Row],[YEAR]]) = 0, "",
   SUMIFS(Table1[Revenue], Table1[Subchannel], $A$1, Table1[Year], Table2[[#This Row],[YEAR]]) /
   SUMIFS(Table1[Orders], Table1[Subchannel], $A$1, Table1[Year], Table2[[#This Row],[YEAR]]))</f>
        <v>121.04347463327007</v>
      </c>
      <c r="E5" s="11">
        <f>IF(SUMIFS(Table1[Revenue], Table1[Subchannel], $A$1, Table1[Year], Table2[[#This Row],[YEAR]]) = 0, "",
   SUMIFS(Table1[Revenue], Table1[Subchannel], $A$1, Table1[Year], Table2[[#This Row],[YEAR]]) /
   SUMIFS(Table1[Media Spend], Table1[Subchannel], $A$1, Table1[Year], Table2[[#This Row],[YEAR]]))</f>
        <v>227.16329870617349</v>
      </c>
    </row>
    <row r="6" spans="1:5" x14ac:dyDescent="0.25">
      <c r="A6" t="s">
        <v>20</v>
      </c>
      <c r="B6" s="11">
        <f>SUBTOTAL(101,Table2[Cost Per Click (CPC)])</f>
        <v>7.1566068869679852E-2</v>
      </c>
      <c r="C6" s="11">
        <f>SUBTOTAL(101,Table2[Cost Per Order (CPO)])</f>
        <v>0.7727308022506314</v>
      </c>
      <c r="D6" s="11">
        <f>SUBTOTAL(101,Table2[Average Order Value (AOV)])</f>
        <v>105.20108506507238</v>
      </c>
      <c r="E6" s="11">
        <f>SUBTOTAL(101,Table2[Return On Ad Spend (ROAS)])</f>
        <v>169.6214715198474</v>
      </c>
    </row>
  </sheetData>
  <mergeCells count="1">
    <mergeCell ref="A1:E1"/>
  </mergeCells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680FC-6AF3-4A50-AEFF-151ECC61958D}">
  <dimension ref="A1:E6"/>
  <sheetViews>
    <sheetView showGridLines="0" tabSelected="1" workbookViewId="0">
      <selection sqref="A1:E1"/>
    </sheetView>
  </sheetViews>
  <sheetFormatPr defaultRowHeight="12.5" x14ac:dyDescent="0.25"/>
  <cols>
    <col min="1" max="1" width="10.90625" bestFit="1" customWidth="1"/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12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>
        <f>IF(SUMIFS(Table1[Clicks], Table1[Subchannel], $A$1, Table1[Year], Table29[[#This Row],[YEAR]]) = 0, "",
   SUMIFS(Table1[Media Spend], Table1[Subchannel], $A$1, Table1[Year], Table29[[#This Row],[YEAR]]) /
   SUMIFS(Table1[Clicks], Table1[Subchannel], $A$1, Table1[Year], Table29[[#This Row],[YEAR]]))</f>
        <v>1.0333968069276469</v>
      </c>
      <c r="C3" s="11">
        <f>IF(SUMIFS(Table1[Media Spend], Table1[Subchannel], $A$1, Table1[Year], Table29[[#This Row],[YEAR]]) = 0, "",
   SUMIFS(Table1[Media Spend], Table1[Subchannel], $A$1, Table1[Year], Table29[[#This Row],[YEAR]]) /
   SUMIFS(Table1[Orders], Table1[Subchannel], $A$1, Table1[Year], Table29[[#This Row],[YEAR]]))</f>
        <v>13.657473562185054</v>
      </c>
      <c r="D3" s="11">
        <f>IF(SUMIFS(Table1[Revenue], Table1[Subchannel], $A$1, Table1[Year], Table29[[#This Row],[YEAR]]) = 0, "",
   SUMIFS(Table1[Revenue], Table1[Subchannel], $A$1, Table1[Year], Table29[[#This Row],[YEAR]]) /
   SUMIFS(Table1[Orders], Table1[Subchannel], $A$1, Table1[Year], Table29[[#This Row],[YEAR]]))</f>
        <v>82.682599097447294</v>
      </c>
      <c r="E3" s="11">
        <f>IF(SUMIFS(Table1[Revenue], Table1[Subchannel], $A$1, Table1[Year], Table29[[#This Row],[YEAR]]) = 0, "",
   SUMIFS(Table1[Revenue], Table1[Subchannel], $A$1, Table1[Year], Table29[[#This Row],[YEAR]]) /
   SUMIFS(Table1[Media Spend], Table1[Subchannel], $A$1, Table1[Year], Table29[[#This Row],[YEAR]]))</f>
        <v>6.0540186090039141</v>
      </c>
    </row>
    <row r="4" spans="1:5" x14ac:dyDescent="0.25">
      <c r="A4" s="10">
        <v>2021</v>
      </c>
      <c r="B4" s="11">
        <f>IF(SUMIFS(Table1[Clicks], Table1[Subchannel], $A$1, Table1[Year], Table29[[#This Row],[YEAR]]) = 0, "",
   SUMIFS(Table1[Media Spend], Table1[Subchannel], $A$1, Table1[Year], Table29[[#This Row],[YEAR]]) /
   SUMIFS(Table1[Clicks], Table1[Subchannel], $A$1, Table1[Year], Table29[[#This Row],[YEAR]]))</f>
        <v>0.92008784694784984</v>
      </c>
      <c r="C4" s="11">
        <f>IF(SUMIFS(Table1[Media Spend], Table1[Subchannel], $A$1, Table1[Year], Table29[[#This Row],[YEAR]]) = 0, "",
   SUMIFS(Table1[Media Spend], Table1[Subchannel], $A$1, Table1[Year], Table29[[#This Row],[YEAR]]) /
   SUMIFS(Table1[Orders], Table1[Subchannel], $A$1, Table1[Year], Table29[[#This Row],[YEAR]]))</f>
        <v>17.378985142266039</v>
      </c>
      <c r="D4" s="11">
        <f>IF(SUMIFS(Table1[Revenue], Table1[Subchannel], $A$1, Table1[Year], Table29[[#This Row],[YEAR]]) = 0, "",
   SUMIFS(Table1[Revenue], Table1[Subchannel], $A$1, Table1[Year], Table29[[#This Row],[YEAR]]) /
   SUMIFS(Table1[Orders], Table1[Subchannel], $A$1, Table1[Year], Table29[[#This Row],[YEAR]]))</f>
        <v>109.643495415838</v>
      </c>
      <c r="E4" s="11">
        <f>IF(SUMIFS(Table1[Revenue], Table1[Subchannel], $A$1, Table1[Year], Table29[[#This Row],[YEAR]]) = 0, "",
   SUMIFS(Table1[Revenue], Table1[Subchannel], $A$1, Table1[Year], Table29[[#This Row],[YEAR]]) /
   SUMIFS(Table1[Media Spend], Table1[Subchannel], $A$1, Table1[Year], Table29[[#This Row],[YEAR]]))</f>
        <v>6.3089699725436121</v>
      </c>
    </row>
    <row r="5" spans="1:5" x14ac:dyDescent="0.25">
      <c r="A5" s="10">
        <v>2022</v>
      </c>
      <c r="B5" s="11">
        <f>IF(SUMIFS(Table1[Clicks], Table1[Subchannel], $A$1, Table1[Year], Table29[[#This Row],[YEAR]]) = 0, "",
   SUMIFS(Table1[Media Spend], Table1[Subchannel], $A$1, Table1[Year], Table29[[#This Row],[YEAR]]) /
   SUMIFS(Table1[Clicks], Table1[Subchannel], $A$1, Table1[Year], Table29[[#This Row],[YEAR]]))</f>
        <v>1.0708344888227534</v>
      </c>
      <c r="C5" s="11">
        <f>IF(SUMIFS(Table1[Media Spend], Table1[Subchannel], $A$1, Table1[Year], Table29[[#This Row],[YEAR]]) = 0, "",
   SUMIFS(Table1[Media Spend], Table1[Subchannel], $A$1, Table1[Year], Table29[[#This Row],[YEAR]]) /
   SUMIFS(Table1[Orders], Table1[Subchannel], $A$1, Table1[Year], Table29[[#This Row],[YEAR]]))</f>
        <v>23.074845572876576</v>
      </c>
      <c r="D5" s="11">
        <f>IF(SUMIFS(Table1[Revenue], Table1[Subchannel], $A$1, Table1[Year], Table29[[#This Row],[YEAR]]) = 0, "",
   SUMIFS(Table1[Revenue], Table1[Subchannel], $A$1, Table1[Year], Table29[[#This Row],[YEAR]]) /
   SUMIFS(Table1[Orders], Table1[Subchannel], $A$1, Table1[Year], Table29[[#This Row],[YEAR]]))</f>
        <v>127.40363050629141</v>
      </c>
      <c r="E5" s="11">
        <f>IF(SUMIFS(Table1[Revenue], Table1[Subchannel], $A$1, Table1[Year], Table29[[#This Row],[YEAR]]) = 0, "",
   SUMIFS(Table1[Revenue], Table1[Subchannel], $A$1, Table1[Year], Table29[[#This Row],[YEAR]]) /
   SUMIFS(Table1[Media Spend], Table1[Subchannel], $A$1, Table1[Year], Table29[[#This Row],[YEAR]]))</f>
        <v>5.5213210465013267</v>
      </c>
    </row>
    <row r="6" spans="1:5" x14ac:dyDescent="0.25">
      <c r="A6" s="10" t="s">
        <v>20</v>
      </c>
      <c r="B6" s="11">
        <f>SUBTOTAL(101,Table29[Cost Per Click (CPC)])</f>
        <v>1.0081063808994168</v>
      </c>
      <c r="C6" s="11">
        <f>SUBTOTAL(101,Table29[Cost Per Order (CPO)])</f>
        <v>18.037101425775891</v>
      </c>
      <c r="D6" s="11">
        <f>SUBTOTAL(101,Table29[Average Order Value (AOV)])</f>
        <v>106.57657500652556</v>
      </c>
      <c r="E6" s="11">
        <f>SUBTOTAL(101,Table29[Return On Ad Spend (ROAS)])</f>
        <v>5.961436542682951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C6076-7128-42A3-A49A-53E1F53B9E68}">
  <dimension ref="A1:E6"/>
  <sheetViews>
    <sheetView showGridLines="0" workbookViewId="0">
      <selection sqref="A1:E1"/>
    </sheetView>
  </sheetViews>
  <sheetFormatPr defaultRowHeight="12.5" x14ac:dyDescent="0.25"/>
  <cols>
    <col min="1" max="1" width="10.90625" bestFit="1" customWidth="1"/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16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>
        <f>IF(SUMIFS(Table1[Clicks], Table1[Subchannel], $A$1, Table1[Year], Table2910[[#This Row],[YEAR]]) = 0, "",
   SUMIFS(Table1[Media Spend], Table1[Subchannel], $A$1, Table1[Year], Table2910[[#This Row],[YEAR]]) /
   SUMIFS(Table1[Clicks], Table1[Subchannel], $A$1, Table1[Year], Table2910[[#This Row],[YEAR]]))</f>
        <v>21.563076078119323</v>
      </c>
      <c r="C3" s="11">
        <f>IF(SUMIFS(Table1[Media Spend], Table1[Subchannel], $A$1, Table1[Year], Table2910[[#This Row],[YEAR]]) = 0, "",
   SUMIFS(Table1[Media Spend], Table1[Subchannel], $A$1, Table1[Year], Table2910[[#This Row],[YEAR]]) /
   SUMIFS(Table1[Orders], Table1[Subchannel], $A$1, Table1[Year], Table2910[[#This Row],[YEAR]]))</f>
        <v>0.48146537886038682</v>
      </c>
      <c r="D3" s="11">
        <f>IF(SUMIFS(Table1[Revenue], Table1[Subchannel], $A$1, Table1[Year], Table2910[[#This Row],[YEAR]]) = 0, "",
   SUMIFS(Table1[Revenue], Table1[Subchannel], $A$1, Table1[Year], Table2910[[#This Row],[YEAR]]) /
   SUMIFS(Table1[Orders], Table1[Subchannel], $A$1, Table1[Year], Table2910[[#This Row],[YEAR]]))</f>
        <v>1.6163580104934079</v>
      </c>
      <c r="E3" s="11">
        <f>IF(SUMIFS(Table1[Revenue], Table1[Subchannel], $A$1, Table1[Year], Table2910[[#This Row],[YEAR]]) = 0, "",
   SUMIFS(Table1[Revenue], Table1[Subchannel], $A$1, Table1[Year], Table2910[[#This Row],[YEAR]]) /
   SUMIFS(Table1[Media Spend], Table1[Subchannel], $A$1, Table1[Year], Table2910[[#This Row],[YEAR]]))</f>
        <v>3.3571635292225488</v>
      </c>
    </row>
    <row r="4" spans="1:5" x14ac:dyDescent="0.25">
      <c r="A4" s="10">
        <v>2021</v>
      </c>
      <c r="B4" s="11">
        <f>IF(SUMIFS(Table1[Clicks], Table1[Subchannel], $A$1, Table1[Year], Table2910[[#This Row],[YEAR]]) = 0, "",
   SUMIFS(Table1[Media Spend], Table1[Subchannel], $A$1, Table1[Year], Table2910[[#This Row],[YEAR]]) /
   SUMIFS(Table1[Clicks], Table1[Subchannel], $A$1, Table1[Year], Table2910[[#This Row],[YEAR]]))</f>
        <v>21.874889692124139</v>
      </c>
      <c r="C4" s="11">
        <f>IF(SUMIFS(Table1[Media Spend], Table1[Subchannel], $A$1, Table1[Year], Table2910[[#This Row],[YEAR]]) = 0, "",
   SUMIFS(Table1[Media Spend], Table1[Subchannel], $A$1, Table1[Year], Table2910[[#This Row],[YEAR]]) /
   SUMIFS(Table1[Orders], Table1[Subchannel], $A$1, Table1[Year], Table2910[[#This Row],[YEAR]]))</f>
        <v>0.508114312396725</v>
      </c>
      <c r="D4" s="11">
        <f>IF(SUMIFS(Table1[Revenue], Table1[Subchannel], $A$1, Table1[Year], Table2910[[#This Row],[YEAR]]) = 0, "",
   SUMIFS(Table1[Revenue], Table1[Subchannel], $A$1, Table1[Year], Table2910[[#This Row],[YEAR]]) /
   SUMIFS(Table1[Orders], Table1[Subchannel], $A$1, Table1[Year], Table2910[[#This Row],[YEAR]]))</f>
        <v>1.8807069027546346</v>
      </c>
      <c r="E4" s="11">
        <f>IF(SUMIFS(Table1[Revenue], Table1[Subchannel], $A$1, Table1[Year], Table2910[[#This Row],[YEAR]]) = 0, "",
   SUMIFS(Table1[Revenue], Table1[Subchannel], $A$1, Table1[Year], Table2910[[#This Row],[YEAR]]) /
   SUMIFS(Table1[Media Spend], Table1[Subchannel], $A$1, Table1[Year], Table2910[[#This Row],[YEAR]]))</f>
        <v>3.7013460492453483</v>
      </c>
    </row>
    <row r="5" spans="1:5" x14ac:dyDescent="0.25">
      <c r="A5" s="10">
        <v>2022</v>
      </c>
      <c r="B5" s="11">
        <f>IF(SUMIFS(Table1[Clicks], Table1[Subchannel], $A$1, Table1[Year], Table2910[[#This Row],[YEAR]]) = 0, "",
   SUMIFS(Table1[Media Spend], Table1[Subchannel], $A$1, Table1[Year], Table2910[[#This Row],[YEAR]]) /
   SUMIFS(Table1[Clicks], Table1[Subchannel], $A$1, Table1[Year], Table2910[[#This Row],[YEAR]]))</f>
        <v>26.997166097465385</v>
      </c>
      <c r="C5" s="11">
        <f>IF(SUMIFS(Table1[Media Spend], Table1[Subchannel], $A$1, Table1[Year], Table2910[[#This Row],[YEAR]]) = 0, "",
   SUMIFS(Table1[Media Spend], Table1[Subchannel], $A$1, Table1[Year], Table2910[[#This Row],[YEAR]]) /
   SUMIFS(Table1[Orders], Table1[Subchannel], $A$1, Table1[Year], Table2910[[#This Row],[YEAR]]))</f>
        <v>0.49153873368471579</v>
      </c>
      <c r="D5" s="11">
        <f>IF(SUMIFS(Table1[Revenue], Table1[Subchannel], $A$1, Table1[Year], Table2910[[#This Row],[YEAR]]) = 0, "",
   SUMIFS(Table1[Revenue], Table1[Subchannel], $A$1, Table1[Year], Table2910[[#This Row],[YEAR]]) /
   SUMIFS(Table1[Orders], Table1[Subchannel], $A$1, Table1[Year], Table2910[[#This Row],[YEAR]]))</f>
        <v>1.7384024784676944</v>
      </c>
      <c r="E5" s="11">
        <f>IF(SUMIFS(Table1[Revenue], Table1[Subchannel], $A$1, Table1[Year], Table2910[[#This Row],[YEAR]]) = 0, "",
   SUMIFS(Table1[Revenue], Table1[Subchannel], $A$1, Table1[Year], Table2910[[#This Row],[YEAR]]) /
   SUMIFS(Table1[Media Spend], Table1[Subchannel], $A$1, Table1[Year], Table2910[[#This Row],[YEAR]]))</f>
        <v>3.5366541013688364</v>
      </c>
    </row>
    <row r="6" spans="1:5" x14ac:dyDescent="0.25">
      <c r="A6" s="10" t="s">
        <v>20</v>
      </c>
      <c r="B6" s="11">
        <f>SUBTOTAL(101,Table2910[Cost Per Click (CPC)])</f>
        <v>23.478377289236281</v>
      </c>
      <c r="C6" s="11">
        <f>SUBTOTAL(101,Table2910[Cost Per Order (CPO)])</f>
        <v>0.49370614164727583</v>
      </c>
      <c r="D6" s="11">
        <f>SUBTOTAL(101,Table2910[Average Order Value (AOV)])</f>
        <v>1.7451557972385789</v>
      </c>
      <c r="E6" s="11">
        <f>SUBTOTAL(101,Table2910[Return On Ad Spend (ROAS)])</f>
        <v>3.5317212266122446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8ED56-B613-47D7-9662-8C3487C716B5}">
  <dimension ref="A1:E6"/>
  <sheetViews>
    <sheetView showGridLines="0" workbookViewId="0">
      <selection sqref="A1:E1"/>
    </sheetView>
  </sheetViews>
  <sheetFormatPr defaultRowHeight="12.5" x14ac:dyDescent="0.25"/>
  <cols>
    <col min="1" max="1" width="10.90625" bestFit="1" customWidth="1"/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18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 t="str">
        <f>IF(SUMIFS(Table1[Clicks], Table1[Subchannel], $A$1, Table1[Year], Table291011[[#This Row],[YEAR]]) = 0, "",
   SUMIFS(Table1[Media Spend], Table1[Subchannel], $A$1, Table1[Year], Table291011[[#This Row],[YEAR]]) /
   SUMIFS(Table1[Clicks], Table1[Subchannel], $A$1, Table1[Year], Table291011[[#This Row],[YEAR]]))</f>
        <v/>
      </c>
      <c r="C3" s="11" t="str">
        <f>IF(SUMIFS(Table1[Media Spend], Table1[Subchannel], $A$1, Table1[Year], Table291011[[#This Row],[YEAR]]) = 0, "",
   SUMIFS(Table1[Media Spend], Table1[Subchannel], $A$1, Table1[Year], Table291011[[#This Row],[YEAR]]) /
   SUMIFS(Table1[Orders], Table1[Subchannel], $A$1, Table1[Year], Table291011[[#This Row],[YEAR]]))</f>
        <v/>
      </c>
      <c r="D3" s="11" t="str">
        <f>IF(SUMIFS(Table1[Revenue], Table1[Subchannel], $A$1, Table1[Year], Table291011[[#This Row],[YEAR]]) = 0, "",
   SUMIFS(Table1[Revenue], Table1[Subchannel], $A$1, Table1[Year], Table291011[[#This Row],[YEAR]]) /
   SUMIFS(Table1[Orders], Table1[Subchannel], $A$1, Table1[Year], Table291011[[#This Row],[YEAR]]))</f>
        <v/>
      </c>
      <c r="E3" s="11" t="str">
        <f>IF(SUMIFS(Table1[Revenue], Table1[Subchannel], $A$1, Table1[Year], Table291011[[#This Row],[YEAR]]) = 0, "",
   SUMIFS(Table1[Revenue], Table1[Subchannel], $A$1, Table1[Year], Table291011[[#This Row],[YEAR]]) /
   SUMIFS(Table1[Media Spend], Table1[Subchannel], $A$1, Table1[Year], Table291011[[#This Row],[YEAR]]))</f>
        <v/>
      </c>
    </row>
    <row r="4" spans="1:5" x14ac:dyDescent="0.25">
      <c r="A4" s="10">
        <v>2021</v>
      </c>
      <c r="B4" s="11">
        <f>IF(SUMIFS(Table1[Clicks], Table1[Subchannel], $A$1, Table1[Year], Table291011[[#This Row],[YEAR]]) = 0, "",
   SUMIFS(Table1[Media Spend], Table1[Subchannel], $A$1, Table1[Year], Table291011[[#This Row],[YEAR]]) /
   SUMIFS(Table1[Clicks], Table1[Subchannel], $A$1, Table1[Year], Table291011[[#This Row],[YEAR]]))</f>
        <v>23.147551265551261</v>
      </c>
      <c r="C4" s="11">
        <f>IF(SUMIFS(Table1[Media Spend], Table1[Subchannel], $A$1, Table1[Year], Table291011[[#This Row],[YEAR]]) = 0, "",
   SUMIFS(Table1[Media Spend], Table1[Subchannel], $A$1, Table1[Year], Table291011[[#This Row],[YEAR]]) /
   SUMIFS(Table1[Orders], Table1[Subchannel], $A$1, Table1[Year], Table291011[[#This Row],[YEAR]]))</f>
        <v>0.62589203175882213</v>
      </c>
      <c r="D4" s="11">
        <f>IF(SUMIFS(Table1[Revenue], Table1[Subchannel], $A$1, Table1[Year], Table291011[[#This Row],[YEAR]]) = 0, "",
   SUMIFS(Table1[Revenue], Table1[Subchannel], $A$1, Table1[Year], Table291011[[#This Row],[YEAR]]) /
   SUMIFS(Table1[Orders], Table1[Subchannel], $A$1, Table1[Year], Table291011[[#This Row],[YEAR]]))</f>
        <v>2.3666311582597452</v>
      </c>
      <c r="E4" s="11">
        <f>IF(SUMIFS(Table1[Revenue], Table1[Subchannel], $A$1, Table1[Year], Table291011[[#This Row],[YEAR]]) = 0, "",
   SUMIFS(Table1[Revenue], Table1[Subchannel], $A$1, Table1[Year], Table291011[[#This Row],[YEAR]]) /
   SUMIFS(Table1[Media Spend], Table1[Subchannel], $A$1, Table1[Year], Table291011[[#This Row],[YEAR]]))</f>
        <v>3.7812131137206908</v>
      </c>
    </row>
    <row r="5" spans="1:5" x14ac:dyDescent="0.25">
      <c r="A5" s="10">
        <v>2022</v>
      </c>
      <c r="B5" s="11">
        <f>IF(SUMIFS(Table1[Clicks], Table1[Subchannel], $A$1, Table1[Year], Table291011[[#This Row],[YEAR]]) = 0, "",
   SUMIFS(Table1[Media Spend], Table1[Subchannel], $A$1, Table1[Year], Table291011[[#This Row],[YEAR]]) /
   SUMIFS(Table1[Clicks], Table1[Subchannel], $A$1, Table1[Year], Table291011[[#This Row],[YEAR]]))</f>
        <v>18.34450082197888</v>
      </c>
      <c r="C5" s="11">
        <f>IF(SUMIFS(Table1[Media Spend], Table1[Subchannel], $A$1, Table1[Year], Table291011[[#This Row],[YEAR]]) = 0, "",
   SUMIFS(Table1[Media Spend], Table1[Subchannel], $A$1, Table1[Year], Table291011[[#This Row],[YEAR]]) /
   SUMIFS(Table1[Orders], Table1[Subchannel], $A$1, Table1[Year], Table291011[[#This Row],[YEAR]]))</f>
        <v>0.48902917020421599</v>
      </c>
      <c r="D5" s="11">
        <f>IF(SUMIFS(Table1[Revenue], Table1[Subchannel], $A$1, Table1[Year], Table291011[[#This Row],[YEAR]]) = 0, "",
   SUMIFS(Table1[Revenue], Table1[Subchannel], $A$1, Table1[Year], Table291011[[#This Row],[YEAR]]) /
   SUMIFS(Table1[Orders], Table1[Subchannel], $A$1, Table1[Year], Table291011[[#This Row],[YEAR]]))</f>
        <v>2.553317667839536</v>
      </c>
      <c r="E5" s="11">
        <f>IF(SUMIFS(Table1[Revenue], Table1[Subchannel], $A$1, Table1[Year], Table291011[[#This Row],[YEAR]]) = 0, "",
   SUMIFS(Table1[Revenue], Table1[Subchannel], $A$1, Table1[Year], Table291011[[#This Row],[YEAR]]) /
   SUMIFS(Table1[Media Spend], Table1[Subchannel], $A$1, Table1[Year], Table291011[[#This Row],[YEAR]]))</f>
        <v>5.2211970643249854</v>
      </c>
    </row>
    <row r="6" spans="1:5" x14ac:dyDescent="0.25">
      <c r="A6" s="10" t="s">
        <v>20</v>
      </c>
      <c r="B6" s="11">
        <f>SUBTOTAL(101,Table291011[Cost Per Click (CPC)])</f>
        <v>20.74602604376507</v>
      </c>
      <c r="C6" s="11">
        <f>SUBTOTAL(101,Table291011[Cost Per Order (CPO)])</f>
        <v>0.55746060098151906</v>
      </c>
      <c r="D6" s="11">
        <f>SUBTOTAL(101,Table291011[Average Order Value (AOV)])</f>
        <v>2.4599744130496406</v>
      </c>
      <c r="E6" s="11">
        <f>SUBTOTAL(101,Table291011[Return On Ad Spend (ROAS)])</f>
        <v>4.5012050890228377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F77F4-8D7E-43FB-AB0F-BA40575CDFE8}">
  <dimension ref="A1:E6"/>
  <sheetViews>
    <sheetView showGridLines="0" topLeftCell="B1" workbookViewId="0">
      <selection sqref="A1:E1"/>
    </sheetView>
  </sheetViews>
  <sheetFormatPr defaultRowHeight="12.5" x14ac:dyDescent="0.25"/>
  <cols>
    <col min="1" max="1" width="10.90625" bestFit="1" customWidth="1"/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17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>
        <f>IF(SUMIFS(Table1[Clicks], Table1[Subchannel], $A$1, Table1[Year], Table29101112[[#This Row],[YEAR]]) = 0, "",
   SUMIFS(Table1[Media Spend], Table1[Subchannel], $A$1, Table1[Year], Table29101112[[#This Row],[YEAR]]) /
   SUMIFS(Table1[Clicks], Table1[Subchannel], $A$1, Table1[Year], Table29101112[[#This Row],[YEAR]]))</f>
        <v>10.366732475461305</v>
      </c>
      <c r="C3" s="11">
        <f>IF(SUMIFS(Table1[Media Spend], Table1[Subchannel], $A$1, Table1[Year], Table29101112[[#This Row],[YEAR]]) = 0, "",
   SUMIFS(Table1[Media Spend], Table1[Subchannel], $A$1, Table1[Year], Table29101112[[#This Row],[YEAR]]) /
   SUMIFS(Table1[Orders], Table1[Subchannel], $A$1, Table1[Year], Table29101112[[#This Row],[YEAR]]))</f>
        <v>0.31776825717421037</v>
      </c>
      <c r="D3" s="11">
        <f>IF(SUMIFS(Table1[Revenue], Table1[Subchannel], $A$1, Table1[Year], Table29101112[[#This Row],[YEAR]]) = 0, "",
   SUMIFS(Table1[Revenue], Table1[Subchannel], $A$1, Table1[Year], Table29101112[[#This Row],[YEAR]]) /
   SUMIFS(Table1[Orders], Table1[Subchannel], $A$1, Table1[Year], Table29101112[[#This Row],[YEAR]]))</f>
        <v>0.86631712396373572</v>
      </c>
      <c r="E3" s="11">
        <f>IF(SUMIFS(Table1[Revenue], Table1[Subchannel], $A$1, Table1[Year], Table29101112[[#This Row],[YEAR]]) = 0, "",
   SUMIFS(Table1[Revenue], Table1[Subchannel], $A$1, Table1[Year], Table29101112[[#This Row],[YEAR]]) /
   SUMIFS(Table1[Media Spend], Table1[Subchannel], $A$1, Table1[Year], Table29101112[[#This Row],[YEAR]]))</f>
        <v>2.7262544461412141</v>
      </c>
    </row>
    <row r="4" spans="1:5" x14ac:dyDescent="0.25">
      <c r="A4" s="10">
        <v>2021</v>
      </c>
      <c r="B4" s="11">
        <f>IF(SUMIFS(Table1[Clicks], Table1[Subchannel], $A$1, Table1[Year], Table29101112[[#This Row],[YEAR]]) = 0, "",
   SUMIFS(Table1[Media Spend], Table1[Subchannel], $A$1, Table1[Year], Table29101112[[#This Row],[YEAR]]) /
   SUMIFS(Table1[Clicks], Table1[Subchannel], $A$1, Table1[Year], Table29101112[[#This Row],[YEAR]]))</f>
        <v>10.261893623630204</v>
      </c>
      <c r="C4" s="11">
        <f>IF(SUMIFS(Table1[Media Spend], Table1[Subchannel], $A$1, Table1[Year], Table29101112[[#This Row],[YEAR]]) = 0, "",
   SUMIFS(Table1[Media Spend], Table1[Subchannel], $A$1, Table1[Year], Table29101112[[#This Row],[YEAR]]) /
   SUMIFS(Table1[Orders], Table1[Subchannel], $A$1, Table1[Year], Table29101112[[#This Row],[YEAR]]))</f>
        <v>0.31313759708505129</v>
      </c>
      <c r="D4" s="11">
        <f>IF(SUMIFS(Table1[Revenue], Table1[Subchannel], $A$1, Table1[Year], Table29101112[[#This Row],[YEAR]]) = 0, "",
   SUMIFS(Table1[Revenue], Table1[Subchannel], $A$1, Table1[Year], Table29101112[[#This Row],[YEAR]]) /
   SUMIFS(Table1[Orders], Table1[Subchannel], $A$1, Table1[Year], Table29101112[[#This Row],[YEAR]]))</f>
        <v>0.61381535792655972</v>
      </c>
      <c r="E4" s="11">
        <f>IF(SUMIFS(Table1[Revenue], Table1[Subchannel], $A$1, Table1[Year], Table29101112[[#This Row],[YEAR]]) = 0, "",
   SUMIFS(Table1[Revenue], Table1[Subchannel], $A$1, Table1[Year], Table29101112[[#This Row],[YEAR]]) /
   SUMIFS(Table1[Media Spend], Table1[Subchannel], $A$1, Table1[Year], Table29101112[[#This Row],[YEAR]]))</f>
        <v>1.9602097085769021</v>
      </c>
    </row>
    <row r="5" spans="1:5" x14ac:dyDescent="0.25">
      <c r="A5" s="10">
        <v>2022</v>
      </c>
      <c r="B5" s="11">
        <f>IF(SUMIFS(Table1[Clicks], Table1[Subchannel], $A$1, Table1[Year], Table29101112[[#This Row],[YEAR]]) = 0, "",
   SUMIFS(Table1[Media Spend], Table1[Subchannel], $A$1, Table1[Year], Table29101112[[#This Row],[YEAR]]) /
   SUMIFS(Table1[Clicks], Table1[Subchannel], $A$1, Table1[Year], Table29101112[[#This Row],[YEAR]]))</f>
        <v>10.272210657685262</v>
      </c>
      <c r="C5" s="11">
        <f>IF(SUMIFS(Table1[Media Spend], Table1[Subchannel], $A$1, Table1[Year], Table29101112[[#This Row],[YEAR]]) = 0, "",
   SUMIFS(Table1[Media Spend], Table1[Subchannel], $A$1, Table1[Year], Table29101112[[#This Row],[YEAR]]) /
   SUMIFS(Table1[Orders], Table1[Subchannel], $A$1, Table1[Year], Table29101112[[#This Row],[YEAR]]))</f>
        <v>0.41438052177729584</v>
      </c>
      <c r="D5" s="11">
        <f>IF(SUMIFS(Table1[Revenue], Table1[Subchannel], $A$1, Table1[Year], Table29101112[[#This Row],[YEAR]]) = 0, "",
   SUMIFS(Table1[Revenue], Table1[Subchannel], $A$1, Table1[Year], Table29101112[[#This Row],[YEAR]]) /
   SUMIFS(Table1[Orders], Table1[Subchannel], $A$1, Table1[Year], Table29101112[[#This Row],[YEAR]]))</f>
        <v>1.3735798479332868</v>
      </c>
      <c r="E5" s="11">
        <f>IF(SUMIFS(Table1[Revenue], Table1[Subchannel], $A$1, Table1[Year], Table29101112[[#This Row],[YEAR]]) = 0, "",
   SUMIFS(Table1[Revenue], Table1[Subchannel], $A$1, Table1[Year], Table29101112[[#This Row],[YEAR]]) /
   SUMIFS(Table1[Media Spend], Table1[Subchannel], $A$1, Table1[Year], Table29101112[[#This Row],[YEAR]]))</f>
        <v>3.3147789911599701</v>
      </c>
    </row>
    <row r="6" spans="1:5" x14ac:dyDescent="0.25">
      <c r="A6" s="10" t="s">
        <v>20</v>
      </c>
      <c r="B6" s="11">
        <f>SUBTOTAL(101,Table29101112[Cost Per Click (CPC)])</f>
        <v>10.30027891892559</v>
      </c>
      <c r="C6" s="11">
        <f>SUBTOTAL(101,Table29101112[Cost Per Order (CPO)])</f>
        <v>0.3484287920121858</v>
      </c>
      <c r="D6" s="11">
        <f>SUBTOTAL(101,Table29101112[Average Order Value (AOV)])</f>
        <v>0.95123744327452753</v>
      </c>
      <c r="E6" s="11">
        <f>SUBTOTAL(101,Table29101112[Return On Ad Spend (ROAS)])</f>
        <v>2.667081048626029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3FD79-3EEC-45BA-AD39-BD7266C38AD0}">
  <dimension ref="A1:E6"/>
  <sheetViews>
    <sheetView showGridLines="0" workbookViewId="0">
      <selection sqref="A1:E1"/>
    </sheetView>
  </sheetViews>
  <sheetFormatPr defaultRowHeight="12.5" x14ac:dyDescent="0.25"/>
  <cols>
    <col min="1" max="1" width="10.90625" bestFit="1" customWidth="1"/>
    <col min="2" max="2" width="24.81640625" bestFit="1" customWidth="1"/>
    <col min="3" max="3" width="25.7265625" bestFit="1" customWidth="1"/>
    <col min="4" max="4" width="31.08984375" bestFit="1" customWidth="1"/>
    <col min="5" max="5" width="32.453125" bestFit="1" customWidth="1"/>
  </cols>
  <sheetData>
    <row r="1" spans="1:5" ht="17.5" x14ac:dyDescent="0.35">
      <c r="A1" s="13" t="s">
        <v>14</v>
      </c>
      <c r="B1" s="13"/>
      <c r="C1" s="13"/>
      <c r="D1" s="13"/>
      <c r="E1" s="13"/>
    </row>
    <row r="2" spans="1:5" ht="14" x14ac:dyDescent="0.3">
      <c r="A2" s="12" t="s">
        <v>21</v>
      </c>
      <c r="B2" s="12" t="s">
        <v>23</v>
      </c>
      <c r="C2" s="12" t="s">
        <v>22</v>
      </c>
      <c r="D2" s="12" t="s">
        <v>24</v>
      </c>
      <c r="E2" s="12" t="s">
        <v>25</v>
      </c>
    </row>
    <row r="3" spans="1:5" x14ac:dyDescent="0.25">
      <c r="A3" s="10">
        <v>2020</v>
      </c>
      <c r="B3" s="11">
        <f>IF(SUMIFS(Table1[Clicks], Table1[Subchannel], $A$1, Table1[Year], Table2910111213[[#This Row],[YEAR]]) = 0, "",
   SUMIFS(Table1[Media Spend], Table1[Subchannel], $A$1, Table1[Year], Table2910111213[[#This Row],[YEAR]]) /
   SUMIFS(Table1[Clicks], Table1[Subchannel], $A$1, Table1[Year], Table2910111213[[#This Row],[YEAR]]))</f>
        <v>12.132070545369977</v>
      </c>
      <c r="C3" s="11">
        <f>IF(SUMIFS(Table1[Media Spend], Table1[Subchannel], $A$1, Table1[Year], Table2910111213[[#This Row],[YEAR]]) = 0, "",
   SUMIFS(Table1[Media Spend], Table1[Subchannel], $A$1, Table1[Year], Table2910111213[[#This Row],[YEAR]]) /
   SUMIFS(Table1[Orders], Table1[Subchannel], $A$1, Table1[Year], Table2910111213[[#This Row],[YEAR]]))</f>
        <v>0.89306431814796794</v>
      </c>
      <c r="D3" s="11">
        <f>IF(SUMIFS(Table1[Revenue], Table1[Subchannel], $A$1, Table1[Year], Table2910111213[[#This Row],[YEAR]]) = 0, "",
   SUMIFS(Table1[Revenue], Table1[Subchannel], $A$1, Table1[Year], Table2910111213[[#This Row],[YEAR]]) /
   SUMIFS(Table1[Orders], Table1[Subchannel], $A$1, Table1[Year], Table2910111213[[#This Row],[YEAR]]))</f>
        <v>6.8608285393413588</v>
      </c>
      <c r="E3" s="11">
        <f>IF(SUMIFS(Table1[Revenue], Table1[Subchannel], $A$1, Table1[Year], Table2910111213[[#This Row],[YEAR]]) = 0, "",
   SUMIFS(Table1[Revenue], Table1[Subchannel], $A$1, Table1[Year], Table2910111213[[#This Row],[YEAR]]) /
   SUMIFS(Table1[Media Spend], Table1[Subchannel], $A$1, Table1[Year], Table2910111213[[#This Row],[YEAR]]))</f>
        <v>7.6823453808672015</v>
      </c>
    </row>
    <row r="4" spans="1:5" x14ac:dyDescent="0.25">
      <c r="A4" s="10">
        <v>2021</v>
      </c>
      <c r="B4" s="11">
        <f>IF(SUMIFS(Table1[Clicks], Table1[Subchannel], $A$1, Table1[Year], Table2910111213[[#This Row],[YEAR]]) = 0, "",
   SUMIFS(Table1[Media Spend], Table1[Subchannel], $A$1, Table1[Year], Table2910111213[[#This Row],[YEAR]]) /
   SUMIFS(Table1[Clicks], Table1[Subchannel], $A$1, Table1[Year], Table2910111213[[#This Row],[YEAR]]))</f>
        <v>10.748792754716982</v>
      </c>
      <c r="C4" s="11">
        <f>IF(SUMIFS(Table1[Media Spend], Table1[Subchannel], $A$1, Table1[Year], Table2910111213[[#This Row],[YEAR]]) = 0, "",
   SUMIFS(Table1[Media Spend], Table1[Subchannel], $A$1, Table1[Year], Table2910111213[[#This Row],[YEAR]]) /
   SUMIFS(Table1[Orders], Table1[Subchannel], $A$1, Table1[Year], Table2910111213[[#This Row],[YEAR]]))</f>
        <v>0.51270268137574804</v>
      </c>
      <c r="D4" s="11">
        <f>IF(SUMIFS(Table1[Revenue], Table1[Subchannel], $A$1, Table1[Year], Table2910111213[[#This Row],[YEAR]]) = 0, "",
   SUMIFS(Table1[Revenue], Table1[Subchannel], $A$1, Table1[Year], Table2910111213[[#This Row],[YEAR]]) /
   SUMIFS(Table1[Orders], Table1[Subchannel], $A$1, Table1[Year], Table2910111213[[#This Row],[YEAR]]))</f>
        <v>4.6895824206395611</v>
      </c>
      <c r="E4" s="11">
        <f>IF(SUMIFS(Table1[Revenue], Table1[Subchannel], $A$1, Table1[Year], Table2910111213[[#This Row],[YEAR]]) = 0, "",
   SUMIFS(Table1[Revenue], Table1[Subchannel], $A$1, Table1[Year], Table2910111213[[#This Row],[YEAR]]) /
   SUMIFS(Table1[Media Spend], Table1[Subchannel], $A$1, Table1[Year], Table2910111213[[#This Row],[YEAR]]))</f>
        <v>9.1467873896346461</v>
      </c>
    </row>
    <row r="5" spans="1:5" x14ac:dyDescent="0.25">
      <c r="A5" s="10">
        <v>2022</v>
      </c>
      <c r="B5" s="11">
        <f>IF(SUMIFS(Table1[Clicks], Table1[Subchannel], $A$1, Table1[Year], Table2910111213[[#This Row],[YEAR]]) = 0, "",
   SUMIFS(Table1[Media Spend], Table1[Subchannel], $A$1, Table1[Year], Table2910111213[[#This Row],[YEAR]]) /
   SUMIFS(Table1[Clicks], Table1[Subchannel], $A$1, Table1[Year], Table2910111213[[#This Row],[YEAR]]))</f>
        <v>7.7178286362776634</v>
      </c>
      <c r="C5" s="11">
        <f>IF(SUMIFS(Table1[Media Spend], Table1[Subchannel], $A$1, Table1[Year], Table2910111213[[#This Row],[YEAR]]) = 0, "",
   SUMIFS(Table1[Media Spend], Table1[Subchannel], $A$1, Table1[Year], Table2910111213[[#This Row],[YEAR]]) /
   SUMIFS(Table1[Orders], Table1[Subchannel], $A$1, Table1[Year], Table2910111213[[#This Row],[YEAR]]))</f>
        <v>0.34403801432881248</v>
      </c>
      <c r="D5" s="11">
        <f>IF(SUMIFS(Table1[Revenue], Table1[Subchannel], $A$1, Table1[Year], Table2910111213[[#This Row],[YEAR]]) = 0, "",
   SUMIFS(Table1[Revenue], Table1[Subchannel], $A$1, Table1[Year], Table2910111213[[#This Row],[YEAR]]) /
   SUMIFS(Table1[Orders], Table1[Subchannel], $A$1, Table1[Year], Table2910111213[[#This Row],[YEAR]]))</f>
        <v>4.7009487489141462</v>
      </c>
      <c r="E5" s="11">
        <f>IF(SUMIFS(Table1[Revenue], Table1[Subchannel], $A$1, Table1[Year], Table2910111213[[#This Row],[YEAR]]) = 0, "",
   SUMIFS(Table1[Revenue], Table1[Subchannel], $A$1, Table1[Year], Table2910111213[[#This Row],[YEAR]]) /
   SUMIFS(Table1[Media Spend], Table1[Subchannel], $A$1, Table1[Year], Table2910111213[[#This Row],[YEAR]]))</f>
        <v>13.664038719922502</v>
      </c>
    </row>
    <row r="6" spans="1:5" x14ac:dyDescent="0.25">
      <c r="A6" s="10" t="s">
        <v>20</v>
      </c>
      <c r="B6" s="11">
        <f>SUBTOTAL(101,Table2910111213[Cost Per Click (CPC)])</f>
        <v>10.199563978788207</v>
      </c>
      <c r="C6" s="11">
        <f>SUBTOTAL(101,Table2910111213[Cost Per Order (CPO)])</f>
        <v>0.58326833795084287</v>
      </c>
      <c r="D6" s="11">
        <f>SUBTOTAL(101,Table2910111213[Average Order Value (AOV)])</f>
        <v>5.4171199029650223</v>
      </c>
      <c r="E6" s="11">
        <f>SUBTOTAL(101,Table2910111213[Return On Ad Spend (ROAS)])</f>
        <v>10.164390496808116</v>
      </c>
    </row>
  </sheetData>
  <mergeCells count="1">
    <mergeCell ref="A1:E1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A474F76BF276043A84475BBDA23782B" ma:contentTypeVersion="5" ma:contentTypeDescription="Create a new document." ma:contentTypeScope="" ma:versionID="a0f0fc1a32e064bc3e21c5942101fbd7">
  <xsd:schema xmlns:xsd="http://www.w3.org/2001/XMLSchema" xmlns:xs="http://www.w3.org/2001/XMLSchema" xmlns:p="http://schemas.microsoft.com/office/2006/metadata/properties" xmlns:ns3="c4798e7b-7899-4f87-9838-f2cc9b4cbfa5" targetNamespace="http://schemas.microsoft.com/office/2006/metadata/properties" ma:root="true" ma:fieldsID="b83efa4a6b651ba6bbaa96c87d947e60" ns3:_="">
    <xsd:import namespace="c4798e7b-7899-4f87-9838-f2cc9b4cbfa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798e7b-7899-4f87-9838-f2cc9b4cbfa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EE59FB-1EF7-48AB-B946-022872D9EE8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terms/"/>
    <ds:schemaRef ds:uri="c4798e7b-7899-4f87-9838-f2cc9b4cbfa5"/>
    <ds:schemaRef ds:uri="http://www.w3.org/XML/1998/namespace"/>
    <ds:schemaRef ds:uri="http://purl.org/dc/elements/1.1/"/>
    <ds:schemaRef ds:uri="http://schemas.microsoft.com/office/2006/metadata/properties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3F8B0D7-3C69-4706-9D5F-2C1DF0B720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69115A-063D-4F36-8F59-31BB1FE51C3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798e7b-7899-4f87-9838-f2cc9b4cbf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cfa792cf-7768-4341-8857-81754c2afa1f}" enabled="0" method="" siteId="{cfa792cf-7768-4341-8857-81754c2afa1f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Brand KPI</vt:lpstr>
      <vt:lpstr>Non-Brand KPI</vt:lpstr>
      <vt:lpstr>Acquisition KPI</vt:lpstr>
      <vt:lpstr>Reactivation KPI</vt:lpstr>
      <vt:lpstr>Retargeting KPI</vt:lpstr>
      <vt:lpstr>Retention KPI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Prescott</cp:lastModifiedBy>
  <dcterms:created xsi:type="dcterms:W3CDTF">2024-10-05T02:47:35Z</dcterms:created>
  <dcterms:modified xsi:type="dcterms:W3CDTF">2024-11-19T00:52:30Z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0x0101007A474F76BF276043A84475BBDA23782B</vt:lpwstr>
  </property>
</Properties>
</file>