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Harrison\Desktop\"/>
    </mc:Choice>
  </mc:AlternateContent>
  <xr:revisionPtr revIDLastSave="0" documentId="13_ncr:1_{C8FB96C7-CF01-4FCE-AEC6-7409FE9950EF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C17" i="1" s="1"/>
  <c r="H35" i="1"/>
  <c r="H41" i="1"/>
  <c r="G37" i="1"/>
  <c r="G36" i="1"/>
  <c r="E50" i="1"/>
  <c r="C54" i="1" s="1"/>
  <c r="C36" i="1"/>
  <c r="C32" i="1"/>
  <c r="E12" i="1"/>
  <c r="F25" i="1"/>
  <c r="E8" i="1"/>
  <c r="C56" i="1" l="1"/>
  <c r="G34" i="1" s="1"/>
  <c r="C19" i="1"/>
  <c r="E9" i="1"/>
  <c r="C37" i="1" l="1"/>
  <c r="C38" i="1" s="1"/>
  <c r="G35" i="1" s="1"/>
  <c r="C4" i="1"/>
  <c r="H34" i="1"/>
  <c r="C14" i="1"/>
  <c r="C15" i="1"/>
  <c r="E15" i="1" s="1"/>
  <c r="C39" i="1" l="1"/>
  <c r="C16" i="1"/>
  <c r="E14" i="1"/>
  <c r="C18" i="1" l="1"/>
  <c r="C20" i="1" s="1"/>
  <c r="E16" i="1"/>
  <c r="J16" i="1" s="1"/>
  <c r="K22" i="1" s="1"/>
  <c r="C5" i="1" l="1"/>
  <c r="E18" i="1"/>
  <c r="J18" i="1" s="1"/>
  <c r="K23" i="1" s="1"/>
  <c r="C2" i="1" l="1"/>
</calcChain>
</file>

<file path=xl/sharedStrings.xml><?xml version="1.0" encoding="utf-8"?>
<sst xmlns="http://schemas.openxmlformats.org/spreadsheetml/2006/main" count="142" uniqueCount="104">
  <si>
    <t>Name</t>
  </si>
  <si>
    <t>Variable</t>
  </si>
  <si>
    <t>Value</t>
  </si>
  <si>
    <t>Thrust</t>
  </si>
  <si>
    <t>F</t>
  </si>
  <si>
    <t>q</t>
  </si>
  <si>
    <t>Propellant mass flow rate</t>
  </si>
  <si>
    <t>Ve</t>
  </si>
  <si>
    <t>Velocity of exhaust gases</t>
  </si>
  <si>
    <t>Pa</t>
  </si>
  <si>
    <t>Pressure at nozzle exit</t>
  </si>
  <si>
    <t>Ae</t>
  </si>
  <si>
    <t>Area of nozzle exist</t>
  </si>
  <si>
    <t>k</t>
  </si>
  <si>
    <t>Specific heat ratio</t>
  </si>
  <si>
    <t>Tc</t>
  </si>
  <si>
    <t>Combustion chamber temperature</t>
  </si>
  <si>
    <t>Pc</t>
  </si>
  <si>
    <t>Combustion chamber pressure</t>
  </si>
  <si>
    <t>Units</t>
  </si>
  <si>
    <t>kg/s</t>
  </si>
  <si>
    <t>M</t>
  </si>
  <si>
    <t>Exhaust gas molecular weight</t>
  </si>
  <si>
    <t>Mpa</t>
  </si>
  <si>
    <t>MPa</t>
  </si>
  <si>
    <t>Pt</t>
  </si>
  <si>
    <t>Gas pressure at nozzle throat</t>
  </si>
  <si>
    <t>Tt</t>
  </si>
  <si>
    <t>Gas temperature at nozzle throat</t>
  </si>
  <si>
    <t>K</t>
  </si>
  <si>
    <t>N/m^2</t>
  </si>
  <si>
    <t>At</t>
  </si>
  <si>
    <t>area at the nozzle throat</t>
  </si>
  <si>
    <t>R'</t>
  </si>
  <si>
    <t>Ideal gas constant</t>
  </si>
  <si>
    <t>J/kg.K</t>
  </si>
  <si>
    <t>m^2</t>
  </si>
  <si>
    <t>Mach number at exit</t>
  </si>
  <si>
    <t>Nm</t>
  </si>
  <si>
    <t>Nozzle exit area correspond to exit Mock number</t>
  </si>
  <si>
    <t>Velocity of exhaust gases at nozzle exit</t>
  </si>
  <si>
    <t>m/s</t>
  </si>
  <si>
    <t>N</t>
  </si>
  <si>
    <t>PSI</t>
  </si>
  <si>
    <t>C</t>
  </si>
  <si>
    <t>mm^2</t>
  </si>
  <si>
    <t>radius in mm</t>
  </si>
  <si>
    <t>D</t>
  </si>
  <si>
    <t>Cp/Cv</t>
  </si>
  <si>
    <t>critical pressure range for k = 1.4</t>
  </si>
  <si>
    <t>low</t>
  </si>
  <si>
    <t>high</t>
  </si>
  <si>
    <t>mean</t>
  </si>
  <si>
    <t>Ambient pressure</t>
  </si>
  <si>
    <t>Rocket Parameters</t>
  </si>
  <si>
    <t>Mass of Fuel</t>
  </si>
  <si>
    <t>Kg</t>
  </si>
  <si>
    <t>Dry mass rocket</t>
  </si>
  <si>
    <t>Wet Mass rocket</t>
  </si>
  <si>
    <t>s</t>
  </si>
  <si>
    <t>Impulse time</t>
  </si>
  <si>
    <t>Delta V</t>
  </si>
  <si>
    <t>m/s^2</t>
  </si>
  <si>
    <t>Average acceleration (vertical)</t>
  </si>
  <si>
    <t>Top speed (vertical)</t>
  </si>
  <si>
    <t>Ideal flight profile</t>
  </si>
  <si>
    <t>Action</t>
  </si>
  <si>
    <t>Time</t>
  </si>
  <si>
    <t>Climb to 1 meter in one second</t>
  </si>
  <si>
    <t>Descend to 0 meters in 1 second.</t>
  </si>
  <si>
    <t>Hover at 1 meter for 5 seconds</t>
  </si>
  <si>
    <t>Average Acceleration  (action)</t>
  </si>
  <si>
    <t>Flight Time</t>
  </si>
  <si>
    <t>Excess time capability</t>
  </si>
  <si>
    <t>Maximize This</t>
  </si>
  <si>
    <t>Radius max constraint</t>
  </si>
  <si>
    <t>Radius min constraint</t>
  </si>
  <si>
    <t>Size constraints</t>
  </si>
  <si>
    <t>mm</t>
  </si>
  <si>
    <t>Conversion</t>
  </si>
  <si>
    <t>Mean Acceleration (total)</t>
  </si>
  <si>
    <t>Target Parameters</t>
  </si>
  <si>
    <t>Target</t>
  </si>
  <si>
    <t>Choke Flow Pa/Pc Range (air)</t>
  </si>
  <si>
    <t>Value in use</t>
  </si>
  <si>
    <t>Rocket Performance</t>
  </si>
  <si>
    <t>Optimization</t>
  </si>
  <si>
    <t>Pc value</t>
  </si>
  <si>
    <t>Best</t>
  </si>
  <si>
    <t>q value</t>
  </si>
  <si>
    <t>Low limit</t>
  </si>
  <si>
    <t>High limit</t>
  </si>
  <si>
    <t>Better? (&gt;0)</t>
  </si>
  <si>
    <t>Current</t>
  </si>
  <si>
    <t>Extra Time</t>
  </si>
  <si>
    <t>MANUAL INPUT</t>
  </si>
  <si>
    <t>Allowed (max)? &gt;0</t>
  </si>
  <si>
    <t>Allowed(min)? (&gt;0)</t>
  </si>
  <si>
    <t>Exess time</t>
  </si>
  <si>
    <t>Mean Acceleration</t>
  </si>
  <si>
    <t>Mean Accel</t>
  </si>
  <si>
    <t>Pc value used</t>
  </si>
  <si>
    <t>q value used</t>
  </si>
  <si>
    <t>Keep this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</si>
</sst>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2" xfId="0" applyFont="1" applyBorder="1"/>
    <xf numFmtId="0" fontId="0" fillId="0" borderId="3" xfId="0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1" fillId="0" borderId="1" xfId="0" applyFont="1" applyBorder="1"/>
    <xf numFmtId="0" fontId="0" fillId="0" borderId="9" xfId="0" applyBorder="1"/>
    <xf numFmtId="0" fontId="1" fillId="3" borderId="2" xfId="0" applyFont="1" applyFill="1" applyBorder="1"/>
    <xf numFmtId="0" fontId="1" fillId="0" borderId="3" xfId="0" applyFont="1" applyBorder="1"/>
    <xf numFmtId="0" fontId="1" fillId="0" borderId="8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0" xfId="0" applyFont="1" applyBorder="1"/>
    <xf numFmtId="0" fontId="1" fillId="0" borderId="4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5" borderId="0" xfId="0" applyFont="1" applyFill="1" applyBorder="1"/>
    <xf numFmtId="0" fontId="1" fillId="5" borderId="1" xfId="0" applyFont="1" applyFill="1" applyBorder="1"/>
    <xf numFmtId="0" fontId="1" fillId="0" borderId="16" xfId="0" applyFont="1" applyBorder="1"/>
    <xf numFmtId="0" fontId="0" fillId="0" borderId="0" xfId="0" applyFill="1" applyBorder="1"/>
    <xf numFmtId="0" fontId="2" fillId="0" borderId="6" xfId="0" applyFont="1" applyBorder="1" applyAlignment="1">
      <alignment vertical="center"/>
    </xf>
    <xf numFmtId="0" fontId="0" fillId="0" borderId="18" xfId="0" applyBorder="1"/>
    <xf numFmtId="0" fontId="0" fillId="0" borderId="19" xfId="0" applyFill="1" applyBorder="1"/>
    <xf numFmtId="0" fontId="1" fillId="4" borderId="18" xfId="0" applyFont="1" applyFill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0" fillId="6" borderId="0" xfId="0" applyFill="1" applyBorder="1"/>
    <xf numFmtId="0" fontId="0" fillId="6" borderId="7" xfId="0" applyFill="1" applyBorder="1"/>
    <xf numFmtId="0" fontId="1" fillId="0" borderId="0" xfId="0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0" fontId="1" fillId="0" borderId="17" xfId="0" applyFont="1" applyBorder="1"/>
    <xf numFmtId="0" fontId="1" fillId="2" borderId="24" xfId="0" applyFont="1" applyFill="1" applyBorder="1"/>
    <xf numFmtId="0" fontId="1" fillId="2" borderId="2" xfId="0" applyFont="1" applyFill="1" applyBorder="1"/>
    <xf numFmtId="0" fontId="1" fillId="4" borderId="2" xfId="0" applyFont="1" applyFill="1" applyBorder="1"/>
    <xf numFmtId="0" fontId="1" fillId="6" borderId="2" xfId="0" applyFont="1" applyFill="1" applyBorder="1"/>
    <xf numFmtId="0" fontId="0" fillId="0" borderId="6" xfId="0" applyFont="1" applyBorder="1"/>
    <xf numFmtId="0" fontId="1" fillId="0" borderId="25" xfId="0" applyFont="1" applyBorder="1"/>
    <xf numFmtId="0" fontId="1" fillId="6" borderId="18" xfId="0" applyFont="1" applyFill="1" applyBorder="1"/>
    <xf numFmtId="0" fontId="0" fillId="0" borderId="0" xfId="0" applyFont="1" applyFill="1" applyBorder="1"/>
    <xf numFmtId="0" fontId="0" fillId="0" borderId="6" xfId="0" applyFont="1" applyFill="1" applyBorder="1"/>
    <xf numFmtId="0" fontId="0" fillId="0" borderId="7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1" fillId="0" borderId="2" xfId="0" applyFont="1" applyFill="1" applyBorder="1"/>
    <xf numFmtId="0" fontId="1" fillId="0" borderId="7" xfId="0" applyFont="1" applyFill="1" applyBorder="1"/>
    <xf numFmtId="0" fontId="1" fillId="0" borderId="4" xfId="0" applyFont="1" applyFill="1" applyBorder="1"/>
    <xf numFmtId="0" fontId="1" fillId="4" borderId="23" xfId="0" applyFont="1" applyFill="1" applyBorder="1"/>
    <xf numFmtId="0" fontId="1" fillId="7" borderId="2" xfId="0" applyFont="1" applyFill="1" applyBorder="1"/>
    <xf numFmtId="165" fontId="1" fillId="3" borderId="20" xfId="0" applyNumberFormat="1" applyFont="1" applyFill="1" applyBorder="1"/>
    <xf numFmtId="0" fontId="1" fillId="0" borderId="23" xfId="0" applyFont="1" applyFill="1" applyBorder="1"/>
    <xf numFmtId="0" fontId="1" fillId="7" borderId="24" xfId="0" applyFont="1" applyFill="1" applyBorder="1"/>
    <xf numFmtId="165" fontId="1" fillId="8" borderId="6" xfId="0" applyNumberFormat="1" applyFont="1" applyFill="1" applyBorder="1"/>
    <xf numFmtId="165" fontId="1" fillId="8" borderId="8" xfId="0" applyNumberFormat="1" applyFont="1" applyFill="1" applyBorder="1"/>
    <xf numFmtId="0" fontId="1" fillId="2" borderId="12" xfId="0" applyFont="1" applyFill="1" applyBorder="1"/>
    <xf numFmtId="0" fontId="1" fillId="9" borderId="2" xfId="0" applyFont="1" applyFill="1" applyBorder="1"/>
    <xf numFmtId="164" fontId="1" fillId="9" borderId="2" xfId="0" applyNumberFormat="1" applyFont="1" applyFill="1" applyBorder="1"/>
    <xf numFmtId="0" fontId="1" fillId="9" borderId="7" xfId="0" applyFont="1" applyFill="1" applyBorder="1"/>
    <xf numFmtId="164" fontId="1" fillId="9" borderId="26" xfId="0" applyNumberFormat="1" applyFont="1" applyFill="1" applyBorder="1"/>
    <xf numFmtId="164" fontId="1" fillId="6" borderId="26" xfId="0" applyNumberFormat="1" applyFont="1" applyFill="1" applyBorder="1"/>
    <xf numFmtId="164" fontId="1" fillId="6" borderId="2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  <color rgb="FFFFFFCC"/>
      <color rgb="FFFF33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"/>
  <sheetViews>
    <sheetView tabSelected="1" zoomScale="60" zoomScaleNormal="60" workbookViewId="0">
      <selection activeCell="N12" sqref="N12"/>
    </sheetView>
  </sheetViews>
  <sheetFormatPr defaultRowHeight="14.4" x14ac:dyDescent="0.3"/>
  <cols>
    <col min="2" max="2" width="49.21875" bestFit="1" customWidth="1"/>
    <col min="3" max="3" width="36.77734375" customWidth="1"/>
    <col min="4" max="4" width="14.88671875" bestFit="1" customWidth="1"/>
    <col min="5" max="5" width="16" bestFit="1" customWidth="1"/>
    <col min="6" max="6" width="19.5546875" bestFit="1" customWidth="1"/>
    <col min="7" max="7" width="20.33203125" bestFit="1" customWidth="1"/>
    <col min="8" max="8" width="14.5546875" customWidth="1"/>
    <col min="9" max="9" width="14.88671875" bestFit="1" customWidth="1"/>
    <col min="10" max="10" width="27.5546875" bestFit="1" customWidth="1"/>
    <col min="11" max="11" width="18.44140625" customWidth="1"/>
  </cols>
  <sheetData>
    <row r="1" spans="1:12" ht="15" thickBot="1" x14ac:dyDescent="0.35">
      <c r="A1" s="34" t="s">
        <v>0</v>
      </c>
      <c r="B1" s="35" t="s">
        <v>1</v>
      </c>
      <c r="C1" s="35" t="s">
        <v>2</v>
      </c>
      <c r="D1" s="35" t="s">
        <v>19</v>
      </c>
      <c r="E1" s="42" t="s">
        <v>79</v>
      </c>
      <c r="F1" s="36" t="s">
        <v>19</v>
      </c>
      <c r="G1" s="28" t="s">
        <v>90</v>
      </c>
      <c r="H1" s="48" t="s">
        <v>91</v>
      </c>
      <c r="I1" s="18"/>
    </row>
    <row r="2" spans="1:12" x14ac:dyDescent="0.3">
      <c r="A2" s="9" t="s">
        <v>4</v>
      </c>
      <c r="B2" s="3" t="s">
        <v>3</v>
      </c>
      <c r="C2" s="3">
        <f>C20</f>
        <v>23.249367169324223</v>
      </c>
      <c r="D2" s="3" t="s">
        <v>42</v>
      </c>
      <c r="E2" s="31"/>
      <c r="F2" s="8"/>
      <c r="G2" s="9"/>
      <c r="H2" s="8"/>
      <c r="I2" s="3"/>
    </row>
    <row r="3" spans="1:12" x14ac:dyDescent="0.3">
      <c r="A3" s="9" t="s">
        <v>5</v>
      </c>
      <c r="B3" s="3" t="s">
        <v>6</v>
      </c>
      <c r="C3" s="41">
        <v>7.1599999999999997E-2</v>
      </c>
      <c r="D3" s="3" t="s">
        <v>20</v>
      </c>
      <c r="E3" s="31"/>
      <c r="F3" s="8"/>
      <c r="G3" s="9"/>
      <c r="H3" s="8"/>
      <c r="I3" s="3"/>
    </row>
    <row r="4" spans="1:12" x14ac:dyDescent="0.3">
      <c r="A4" s="9" t="s">
        <v>7</v>
      </c>
      <c r="B4" s="3" t="s">
        <v>8</v>
      </c>
      <c r="C4" s="3">
        <f>C19</f>
        <v>324.71167087302274</v>
      </c>
      <c r="D4" s="3" t="s">
        <v>41</v>
      </c>
      <c r="E4" s="31"/>
      <c r="F4" s="8"/>
      <c r="G4" s="9"/>
      <c r="H4" s="8"/>
      <c r="I4" s="3"/>
    </row>
    <row r="5" spans="1:12" x14ac:dyDescent="0.3">
      <c r="A5" s="9" t="s">
        <v>11</v>
      </c>
      <c r="B5" s="3" t="s">
        <v>12</v>
      </c>
      <c r="C5" s="3">
        <f>C18</f>
        <v>2.9882942480347919E-5</v>
      </c>
      <c r="D5" s="3" t="s">
        <v>36</v>
      </c>
      <c r="E5" s="31"/>
      <c r="F5" s="8"/>
      <c r="G5" s="9"/>
      <c r="H5" s="8"/>
      <c r="I5" s="3"/>
    </row>
    <row r="6" spans="1:12" x14ac:dyDescent="0.3">
      <c r="A6" s="9" t="s">
        <v>13</v>
      </c>
      <c r="B6" s="3" t="s">
        <v>14</v>
      </c>
      <c r="C6" s="29">
        <v>1.4</v>
      </c>
      <c r="D6" s="3" t="s">
        <v>48</v>
      </c>
      <c r="E6" s="31"/>
      <c r="F6" s="8"/>
      <c r="G6" s="9"/>
      <c r="H6" s="8"/>
      <c r="I6" s="3"/>
    </row>
    <row r="7" spans="1:12" x14ac:dyDescent="0.3">
      <c r="A7" s="9" t="s">
        <v>15</v>
      </c>
      <c r="B7" s="3" t="s">
        <v>16</v>
      </c>
      <c r="C7" s="29">
        <v>273</v>
      </c>
      <c r="D7" s="3" t="s">
        <v>29</v>
      </c>
      <c r="E7" s="31"/>
      <c r="F7" s="8"/>
      <c r="G7" s="9"/>
      <c r="H7" s="8"/>
      <c r="I7" s="3"/>
    </row>
    <row r="8" spans="1:12" x14ac:dyDescent="0.3">
      <c r="A8" s="9" t="s">
        <v>17</v>
      </c>
      <c r="B8" s="3" t="s">
        <v>18</v>
      </c>
      <c r="C8" s="41">
        <v>1</v>
      </c>
      <c r="D8" s="3" t="s">
        <v>24</v>
      </c>
      <c r="E8" s="49">
        <f>C8*145.038</f>
        <v>145.03800000000001</v>
      </c>
      <c r="F8" s="8" t="s">
        <v>43</v>
      </c>
      <c r="G8" s="9"/>
      <c r="H8" s="8"/>
      <c r="I8" s="3"/>
    </row>
    <row r="9" spans="1:12" x14ac:dyDescent="0.3">
      <c r="A9" s="9" t="s">
        <v>9</v>
      </c>
      <c r="B9" s="3" t="s">
        <v>10</v>
      </c>
      <c r="C9" s="3">
        <f>C8*D27</f>
        <v>0.48699999999999999</v>
      </c>
      <c r="D9" s="3" t="s">
        <v>23</v>
      </c>
      <c r="E9" s="49">
        <f>C9*145.038</f>
        <v>70.633505999999997</v>
      </c>
      <c r="F9" s="8" t="s">
        <v>43</v>
      </c>
      <c r="G9" s="9"/>
      <c r="H9" s="8"/>
      <c r="I9" s="3"/>
    </row>
    <row r="10" spans="1:12" x14ac:dyDescent="0.3">
      <c r="A10" s="9" t="s">
        <v>21</v>
      </c>
      <c r="B10" s="3" t="s">
        <v>22</v>
      </c>
      <c r="C10" s="29">
        <v>28</v>
      </c>
      <c r="D10" s="3" t="s">
        <v>47</v>
      </c>
      <c r="E10" s="31"/>
      <c r="F10" s="8"/>
      <c r="G10" s="9"/>
      <c r="H10" s="8"/>
      <c r="I10" s="3"/>
    </row>
    <row r="11" spans="1:12" x14ac:dyDescent="0.3">
      <c r="A11" s="30" t="s">
        <v>33</v>
      </c>
      <c r="B11" s="3" t="s">
        <v>34</v>
      </c>
      <c r="C11" s="3">
        <v>8314</v>
      </c>
      <c r="D11" s="3" t="s">
        <v>35</v>
      </c>
      <c r="E11" s="31"/>
      <c r="F11" s="8"/>
      <c r="G11" s="9"/>
      <c r="H11" s="8"/>
      <c r="I11" s="3"/>
    </row>
    <row r="12" spans="1:12" x14ac:dyDescent="0.3">
      <c r="A12" s="9" t="s">
        <v>9</v>
      </c>
      <c r="B12" s="3" t="s">
        <v>53</v>
      </c>
      <c r="C12" s="3">
        <v>0.10100000000000001</v>
      </c>
      <c r="D12" s="3" t="s">
        <v>24</v>
      </c>
      <c r="E12" s="31">
        <f>14.4</f>
        <v>14.4</v>
      </c>
      <c r="F12" s="8" t="s">
        <v>43</v>
      </c>
      <c r="G12" s="9"/>
      <c r="H12" s="8"/>
      <c r="I12" s="3"/>
    </row>
    <row r="13" spans="1:12" x14ac:dyDescent="0.3">
      <c r="A13" s="9"/>
      <c r="B13" s="3"/>
      <c r="C13" s="3"/>
      <c r="D13" s="3"/>
      <c r="E13" s="31"/>
      <c r="F13" s="8"/>
      <c r="G13" s="9"/>
      <c r="H13" s="8"/>
      <c r="I13" s="3"/>
    </row>
    <row r="14" spans="1:12" x14ac:dyDescent="0.3">
      <c r="A14" s="9" t="s">
        <v>25</v>
      </c>
      <c r="B14" s="3" t="s">
        <v>26</v>
      </c>
      <c r="C14" s="3">
        <f xml:space="preserve"> C8 * (1 + (C6 - 1) / 2)^(-C6 / (C6 - 1)) * 1000000</f>
        <v>528281.78771717416</v>
      </c>
      <c r="D14" s="3" t="s">
        <v>30</v>
      </c>
      <c r="E14" s="31">
        <f>C14*0.000145038</f>
        <v>76.620933926923513</v>
      </c>
      <c r="F14" s="8" t="s">
        <v>43</v>
      </c>
      <c r="G14" s="9"/>
      <c r="H14" s="8"/>
      <c r="I14" s="3"/>
    </row>
    <row r="15" spans="1:12" ht="15" thickBot="1" x14ac:dyDescent="0.35">
      <c r="A15" s="9" t="s">
        <v>27</v>
      </c>
      <c r="B15" s="3" t="s">
        <v>28</v>
      </c>
      <c r="C15" s="3">
        <f xml:space="preserve">  C7 * (1 / (1 + (C6 - 1) / 2))</f>
        <v>227.5</v>
      </c>
      <c r="D15" s="3" t="s">
        <v>29</v>
      </c>
      <c r="E15" s="31">
        <f>C15-273.15</f>
        <v>-45.649999999999977</v>
      </c>
      <c r="F15" s="8" t="s">
        <v>44</v>
      </c>
      <c r="G15" s="9"/>
      <c r="H15" s="8"/>
      <c r="I15" s="3"/>
      <c r="J15" s="1" t="s">
        <v>77</v>
      </c>
    </row>
    <row r="16" spans="1:12" ht="15" thickBot="1" x14ac:dyDescent="0.35">
      <c r="A16" s="9" t="s">
        <v>31</v>
      </c>
      <c r="B16" s="3" t="s">
        <v>32</v>
      </c>
      <c r="C16" s="3">
        <f xml:space="preserve"> (C3 / C14) * SQRT((C11 * C15) / (C10 * C6))</f>
        <v>2.9771455027611659E-5</v>
      </c>
      <c r="D16" s="3" t="s">
        <v>36</v>
      </c>
      <c r="E16" s="33">
        <f>C16*1000000</f>
        <v>29.771455027611658</v>
      </c>
      <c r="F16" s="8" t="s">
        <v>45</v>
      </c>
      <c r="G16" s="9"/>
      <c r="H16" s="8"/>
      <c r="I16" s="3"/>
      <c r="J16" s="45">
        <f>SQRT((E16/(3.1415)))</f>
        <v>3.0784457047707696</v>
      </c>
      <c r="K16" s="19" t="s">
        <v>46</v>
      </c>
      <c r="L16" s="6"/>
    </row>
    <row r="17" spans="1:12" ht="15" thickBot="1" x14ac:dyDescent="0.35">
      <c r="A17" s="9" t="s">
        <v>38</v>
      </c>
      <c r="B17" s="3" t="s">
        <v>37</v>
      </c>
      <c r="C17" s="3">
        <f xml:space="preserve"> SQRT((2 / (C6 - 1)) * ((C8 / C9)^((C6 - 1)/C6) - 1))</f>
        <v>1.0682312594263388</v>
      </c>
      <c r="D17" s="3"/>
      <c r="E17" s="31"/>
      <c r="F17" s="8"/>
      <c r="G17" s="9"/>
      <c r="H17" s="8"/>
      <c r="I17" s="3"/>
      <c r="J17" s="9"/>
      <c r="K17" s="3"/>
      <c r="L17" s="8"/>
    </row>
    <row r="18" spans="1:12" ht="15" thickBot="1" x14ac:dyDescent="0.35">
      <c r="A18" s="9" t="s">
        <v>11</v>
      </c>
      <c r="B18" s="3" t="s">
        <v>39</v>
      </c>
      <c r="C18" s="3">
        <f>(C16/C17)*((1+(C6-1)/2*(C17^2))/((C6+1)/2))^((C6+1)/(2*(C6-1)))</f>
        <v>2.9882942480347919E-5</v>
      </c>
      <c r="D18" s="3" t="s">
        <v>36</v>
      </c>
      <c r="E18" s="33">
        <f>C18*1000000</f>
        <v>29.882942480347918</v>
      </c>
      <c r="F18" s="8" t="s">
        <v>45</v>
      </c>
      <c r="G18" s="9"/>
      <c r="H18" s="8"/>
      <c r="I18" s="3"/>
      <c r="J18" s="45">
        <f>SQRT(E18/(3.1415))</f>
        <v>3.084204364542432</v>
      </c>
      <c r="K18" s="18" t="s">
        <v>46</v>
      </c>
      <c r="L18" s="8"/>
    </row>
    <row r="19" spans="1:12" ht="15" thickBot="1" x14ac:dyDescent="0.35">
      <c r="A19" s="9" t="s">
        <v>7</v>
      </c>
      <c r="B19" s="3" t="s">
        <v>40</v>
      </c>
      <c r="C19" s="3">
        <f>SQRT( (2 * C6 / (C6 - 1)) * (C11 * C7 / C10) * (1 - (C9 / C8)^((C6 - 1)/C6)))</f>
        <v>324.71167087302274</v>
      </c>
      <c r="D19" s="3" t="s">
        <v>41</v>
      </c>
      <c r="E19" s="31"/>
      <c r="F19" s="8"/>
      <c r="G19" s="9"/>
      <c r="H19" s="8"/>
      <c r="I19" s="3"/>
      <c r="J19" s="7" t="s">
        <v>75</v>
      </c>
      <c r="K19" s="58">
        <v>5</v>
      </c>
      <c r="L19" s="17" t="s">
        <v>78</v>
      </c>
    </row>
    <row r="20" spans="1:12" ht="15" thickBot="1" x14ac:dyDescent="0.35">
      <c r="A20" s="10" t="s">
        <v>4</v>
      </c>
      <c r="B20" s="2" t="s">
        <v>3</v>
      </c>
      <c r="C20" s="2">
        <f xml:space="preserve"> C3 * C19 + (C9 - C12) * C18</f>
        <v>23.249367169324223</v>
      </c>
      <c r="D20" s="2" t="s">
        <v>42</v>
      </c>
      <c r="E20" s="32"/>
      <c r="F20" s="12"/>
      <c r="G20" s="10"/>
      <c r="H20" s="12"/>
      <c r="I20" s="3"/>
      <c r="J20" s="34" t="s">
        <v>76</v>
      </c>
      <c r="K20" s="45">
        <v>0.5</v>
      </c>
      <c r="L20" s="36" t="s">
        <v>78</v>
      </c>
    </row>
    <row r="21" spans="1:12" ht="15" thickBot="1" x14ac:dyDescent="0.35">
      <c r="J21" s="9"/>
      <c r="K21" s="3"/>
      <c r="L21" s="8"/>
    </row>
    <row r="22" spans="1:12" ht="15" thickBot="1" x14ac:dyDescent="0.35">
      <c r="J22" s="7" t="s">
        <v>96</v>
      </c>
      <c r="K22" s="59">
        <f>K19-J16</f>
        <v>1.9215542952292304</v>
      </c>
      <c r="L22" s="8"/>
    </row>
    <row r="23" spans="1:12" ht="15" thickBot="1" x14ac:dyDescent="0.35">
      <c r="C23" s="1" t="s">
        <v>83</v>
      </c>
      <c r="J23" s="15" t="s">
        <v>97</v>
      </c>
      <c r="K23" s="62">
        <f>J18-K20</f>
        <v>2.584204364542432</v>
      </c>
      <c r="L23" s="12"/>
    </row>
    <row r="24" spans="1:12" ht="15" thickBot="1" x14ac:dyDescent="0.35">
      <c r="C24" s="14"/>
      <c r="D24" s="35" t="s">
        <v>50</v>
      </c>
      <c r="E24" s="35" t="s">
        <v>51</v>
      </c>
      <c r="F24" s="36" t="s">
        <v>52</v>
      </c>
      <c r="G24" s="18"/>
      <c r="H24" s="18"/>
      <c r="I24" s="18"/>
    </row>
    <row r="25" spans="1:12" x14ac:dyDescent="0.3">
      <c r="C25" s="7" t="s">
        <v>49</v>
      </c>
      <c r="D25" s="37">
        <v>0.48699999999999999</v>
      </c>
      <c r="E25" s="37">
        <v>0.58699999999999997</v>
      </c>
      <c r="F25" s="38">
        <f>(D25+E25)/2</f>
        <v>0.53699999999999992</v>
      </c>
      <c r="G25" s="29"/>
      <c r="H25" s="29"/>
      <c r="I25" s="29"/>
    </row>
    <row r="26" spans="1:12" x14ac:dyDescent="0.3">
      <c r="C26" s="9"/>
      <c r="D26" s="3"/>
      <c r="E26" s="3"/>
      <c r="F26" s="8"/>
      <c r="G26" s="3"/>
      <c r="H26" s="3"/>
      <c r="I26" s="3"/>
    </row>
    <row r="27" spans="1:12" ht="15" thickBot="1" x14ac:dyDescent="0.35">
      <c r="C27" s="15" t="s">
        <v>84</v>
      </c>
      <c r="D27" s="40">
        <v>0.48699999999999999</v>
      </c>
      <c r="E27" s="2"/>
      <c r="F27" s="12"/>
      <c r="G27" s="3"/>
      <c r="H27" s="3"/>
      <c r="I27" s="3"/>
    </row>
    <row r="28" spans="1:12" ht="15" thickBot="1" x14ac:dyDescent="0.35"/>
    <row r="29" spans="1:12" ht="15" thickBot="1" x14ac:dyDescent="0.35">
      <c r="B29" s="14" t="s">
        <v>54</v>
      </c>
      <c r="C29" s="19" t="s">
        <v>2</v>
      </c>
      <c r="D29" s="16" t="s">
        <v>19</v>
      </c>
    </row>
    <row r="30" spans="1:12" ht="15" thickBot="1" x14ac:dyDescent="0.35">
      <c r="B30" s="47" t="s">
        <v>55</v>
      </c>
      <c r="C30" s="44">
        <v>0.56999999999999995</v>
      </c>
      <c r="D30" s="8" t="s">
        <v>56</v>
      </c>
    </row>
    <row r="31" spans="1:12" ht="15" thickBot="1" x14ac:dyDescent="0.35">
      <c r="B31" s="9" t="s">
        <v>57</v>
      </c>
      <c r="C31" s="43">
        <v>2</v>
      </c>
      <c r="D31" s="8" t="s">
        <v>56</v>
      </c>
    </row>
    <row r="32" spans="1:12" ht="15" thickBot="1" x14ac:dyDescent="0.35">
      <c r="B32" s="10" t="s">
        <v>58</v>
      </c>
      <c r="C32" s="46">
        <f>C30+C31</f>
        <v>2.57</v>
      </c>
      <c r="D32" s="12" t="s">
        <v>56</v>
      </c>
      <c r="F32" s="39" t="s">
        <v>86</v>
      </c>
      <c r="G32" s="50"/>
      <c r="H32" s="50"/>
    </row>
    <row r="33" spans="2:9" ht="15" thickBot="1" x14ac:dyDescent="0.35">
      <c r="B33" s="3"/>
      <c r="C33" s="39"/>
      <c r="D33" s="3"/>
      <c r="F33" s="4" t="s">
        <v>93</v>
      </c>
      <c r="G33" s="57" t="s">
        <v>93</v>
      </c>
      <c r="H33" s="61" t="s">
        <v>92</v>
      </c>
    </row>
    <row r="34" spans="2:9" ht="15" thickBot="1" x14ac:dyDescent="0.35">
      <c r="B34" s="3"/>
      <c r="C34" s="39"/>
      <c r="D34" s="3"/>
      <c r="F34" s="51" t="s">
        <v>98</v>
      </c>
      <c r="G34" s="60">
        <f>C56</f>
        <v>0.960893854748603</v>
      </c>
      <c r="H34" s="59">
        <f>G34-G40</f>
        <v>4.4193854748603045E-2</v>
      </c>
    </row>
    <row r="35" spans="2:9" ht="15" thickBot="1" x14ac:dyDescent="0.35">
      <c r="B35" s="1" t="s">
        <v>85</v>
      </c>
      <c r="F35" s="51" t="s">
        <v>99</v>
      </c>
      <c r="G35" s="64">
        <f>C38</f>
        <v>0.42803266895998604</v>
      </c>
      <c r="H35" s="68">
        <f>$H$41</f>
        <v>0.42857142857142855</v>
      </c>
      <c r="I35" t="s">
        <v>82</v>
      </c>
    </row>
    <row r="36" spans="2:9" ht="15" thickBot="1" x14ac:dyDescent="0.35">
      <c r="B36" s="5" t="s">
        <v>60</v>
      </c>
      <c r="C36" s="67">
        <f>C30/C3</f>
        <v>7.960893854748603</v>
      </c>
      <c r="D36" s="6" t="s">
        <v>59</v>
      </c>
      <c r="F36" s="51" t="s">
        <v>87</v>
      </c>
      <c r="G36" s="63">
        <f>C8</f>
        <v>1</v>
      </c>
      <c r="H36" s="52"/>
    </row>
    <row r="37" spans="2:9" ht="15" thickBot="1" x14ac:dyDescent="0.35">
      <c r="B37" s="9" t="s">
        <v>61</v>
      </c>
      <c r="C37" s="3">
        <f>C19 * LN(C32/C31)</f>
        <v>81.424282420491508</v>
      </c>
      <c r="D37" s="8" t="s">
        <v>41</v>
      </c>
      <c r="F37" s="51" t="s">
        <v>89</v>
      </c>
      <c r="G37" s="64">
        <f>C3</f>
        <v>7.1599999999999997E-2</v>
      </c>
      <c r="H37" s="54"/>
    </row>
    <row r="38" spans="2:9" ht="15" thickBot="1" x14ac:dyDescent="0.35">
      <c r="B38" s="9" t="s">
        <v>63</v>
      </c>
      <c r="C38" s="66">
        <f>(C37/C36)-9.8</f>
        <v>0.42803266895998604</v>
      </c>
      <c r="D38" s="8" t="s">
        <v>62</v>
      </c>
      <c r="F38" s="51"/>
      <c r="G38" s="50"/>
      <c r="H38" s="52"/>
    </row>
    <row r="39" spans="2:9" ht="15" thickBot="1" x14ac:dyDescent="0.35">
      <c r="B39" s="10" t="s">
        <v>64</v>
      </c>
      <c r="C39" s="2">
        <f>C38*C36</f>
        <v>3.407522643955196</v>
      </c>
      <c r="D39" s="12" t="s">
        <v>41</v>
      </c>
      <c r="F39" s="55" t="s">
        <v>88</v>
      </c>
      <c r="G39" s="65" t="s">
        <v>95</v>
      </c>
      <c r="H39" s="56"/>
    </row>
    <row r="40" spans="2:9" x14ac:dyDescent="0.3">
      <c r="B40" s="3"/>
      <c r="C40" s="3"/>
      <c r="D40" s="3"/>
      <c r="F40" s="51" t="s">
        <v>94</v>
      </c>
      <c r="G40" s="69">
        <v>0.91669999999999996</v>
      </c>
      <c r="H40" s="56" t="s">
        <v>82</v>
      </c>
    </row>
    <row r="41" spans="2:9" x14ac:dyDescent="0.3">
      <c r="F41" s="51" t="s">
        <v>100</v>
      </c>
      <c r="G41" s="69">
        <v>0.48520000000000002</v>
      </c>
      <c r="H41" s="68">
        <f>C54</f>
        <v>0.42857142857142855</v>
      </c>
      <c r="I41" s="50" t="s">
        <v>103</v>
      </c>
    </row>
    <row r="42" spans="2:9" x14ac:dyDescent="0.3">
      <c r="F42" s="51" t="s">
        <v>101</v>
      </c>
      <c r="G42" s="70">
        <v>0.5</v>
      </c>
      <c r="H42" s="52"/>
    </row>
    <row r="43" spans="2:9" ht="15" thickBot="1" x14ac:dyDescent="0.35">
      <c r="F43" s="53" t="s">
        <v>102</v>
      </c>
      <c r="G43" s="71">
        <v>7.1999999999999995E-2</v>
      </c>
      <c r="H43" s="54"/>
    </row>
    <row r="44" spans="2:9" ht="15" thickBot="1" x14ac:dyDescent="0.35">
      <c r="G44" s="50"/>
      <c r="H44" s="50"/>
    </row>
    <row r="45" spans="2:9" ht="15" thickBot="1" x14ac:dyDescent="0.35">
      <c r="B45" s="20" t="s">
        <v>65</v>
      </c>
      <c r="C45" s="21"/>
      <c r="D45" s="21"/>
      <c r="E45" s="21"/>
      <c r="F45" s="22"/>
      <c r="G45" s="50"/>
      <c r="H45" s="50"/>
    </row>
    <row r="46" spans="2:9" ht="15.6" thickTop="1" thickBot="1" x14ac:dyDescent="0.35">
      <c r="B46" s="23" t="s">
        <v>66</v>
      </c>
      <c r="C46" s="24" t="s">
        <v>71</v>
      </c>
      <c r="D46" s="24" t="s">
        <v>19</v>
      </c>
      <c r="E46" s="24" t="s">
        <v>67</v>
      </c>
      <c r="F46" s="25" t="s">
        <v>19</v>
      </c>
      <c r="I46" s="3"/>
    </row>
    <row r="47" spans="2:9" x14ac:dyDescent="0.3">
      <c r="B47" s="9" t="s">
        <v>68</v>
      </c>
      <c r="C47" s="26">
        <v>2</v>
      </c>
      <c r="D47" s="3" t="s">
        <v>62</v>
      </c>
      <c r="E47" s="26">
        <v>1</v>
      </c>
      <c r="F47" s="8" t="s">
        <v>59</v>
      </c>
      <c r="I47" s="18"/>
    </row>
    <row r="48" spans="2:9" x14ac:dyDescent="0.3">
      <c r="B48" s="9" t="s">
        <v>70</v>
      </c>
      <c r="C48" s="26">
        <v>0</v>
      </c>
      <c r="D48" s="3" t="s">
        <v>62</v>
      </c>
      <c r="E48" s="26">
        <v>5</v>
      </c>
      <c r="F48" s="8" t="s">
        <v>59</v>
      </c>
      <c r="G48" s="3"/>
      <c r="H48" s="3"/>
      <c r="I48" s="3"/>
    </row>
    <row r="49" spans="2:9" ht="15" thickBot="1" x14ac:dyDescent="0.35">
      <c r="B49" s="10" t="s">
        <v>69</v>
      </c>
      <c r="C49" s="27">
        <v>1</v>
      </c>
      <c r="D49" s="2" t="s">
        <v>62</v>
      </c>
      <c r="E49" s="27">
        <v>1</v>
      </c>
      <c r="F49" s="12" t="s">
        <v>59</v>
      </c>
      <c r="G49" s="18"/>
      <c r="H49" s="18"/>
      <c r="I49" s="3"/>
    </row>
    <row r="50" spans="2:9" ht="15" thickBot="1" x14ac:dyDescent="0.35">
      <c r="B50" s="10"/>
      <c r="C50" s="2"/>
      <c r="D50" s="11" t="s">
        <v>72</v>
      </c>
      <c r="E50" s="27">
        <f>SUM(E47:E49)</f>
        <v>7</v>
      </c>
      <c r="F50" s="12" t="s">
        <v>59</v>
      </c>
      <c r="G50" s="3"/>
      <c r="H50" s="3"/>
      <c r="I50" s="3"/>
    </row>
    <row r="51" spans="2:9" x14ac:dyDescent="0.3">
      <c r="B51" s="3"/>
      <c r="C51" s="3"/>
      <c r="D51" s="18"/>
      <c r="E51" s="39"/>
      <c r="F51" s="3"/>
      <c r="G51" s="3"/>
      <c r="H51" s="3"/>
      <c r="I51" s="3"/>
    </row>
    <row r="52" spans="2:9" ht="15" thickBot="1" x14ac:dyDescent="0.35">
      <c r="B52" s="1" t="s">
        <v>81</v>
      </c>
      <c r="D52" s="1"/>
      <c r="G52" s="3"/>
      <c r="H52" s="3"/>
      <c r="I52" s="3"/>
    </row>
    <row r="53" spans="2:9" ht="15" thickBot="1" x14ac:dyDescent="0.35">
      <c r="B53" s="5"/>
      <c r="C53" s="19" t="s">
        <v>82</v>
      </c>
      <c r="D53" s="6"/>
      <c r="G53" s="3"/>
      <c r="H53" s="3"/>
    </row>
    <row r="54" spans="2:9" ht="15" thickBot="1" x14ac:dyDescent="0.35">
      <c r="B54" s="7" t="s">
        <v>80</v>
      </c>
      <c r="C54" s="13">
        <f>((C47*E47)+(C48*E48)+(C49*E49))/E50</f>
        <v>0.42857142857142855</v>
      </c>
      <c r="D54" s="8" t="s">
        <v>62</v>
      </c>
      <c r="G54" s="3"/>
      <c r="H54" s="3"/>
    </row>
    <row r="55" spans="2:9" ht="15" thickBot="1" x14ac:dyDescent="0.35">
      <c r="B55" s="9"/>
      <c r="C55" s="3"/>
      <c r="D55" s="8"/>
    </row>
    <row r="56" spans="2:9" ht="15" thickBot="1" x14ac:dyDescent="0.35">
      <c r="B56" s="7" t="s">
        <v>73</v>
      </c>
      <c r="C56" s="13">
        <f>C36-E50</f>
        <v>0.960893854748603</v>
      </c>
      <c r="D56" s="8" t="s">
        <v>59</v>
      </c>
    </row>
    <row r="57" spans="2:9" ht="15" thickBot="1" x14ac:dyDescent="0.35">
      <c r="B57" s="10"/>
      <c r="C57" s="11" t="s">
        <v>74</v>
      </c>
      <c r="D57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Brown</dc:creator>
  <cp:lastModifiedBy>Harrison</cp:lastModifiedBy>
  <dcterms:created xsi:type="dcterms:W3CDTF">2015-06-05T18:17:20Z</dcterms:created>
  <dcterms:modified xsi:type="dcterms:W3CDTF">2019-09-04T00:52:51Z</dcterms:modified>
</cp:coreProperties>
</file>